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4000" windowHeight="9135" firstSheet="3" activeTab="7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onctionnement troupeau bovin 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T38" i="31" l="1"/>
  <c r="AV4" i="29" l="1"/>
  <c r="AW4" i="29"/>
  <c r="BD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AV7" i="29"/>
  <c r="AW7" i="29"/>
  <c r="BI7" i="29" s="1"/>
  <c r="AX7" i="29"/>
  <c r="AY7" i="29"/>
  <c r="AZ7" i="29"/>
  <c r="BA7" i="29"/>
  <c r="BB7" i="29"/>
  <c r="BC7" i="29"/>
  <c r="BD7" i="29"/>
  <c r="BE7" i="29" s="1"/>
  <c r="BF7" i="29" s="1"/>
  <c r="BH7" i="29"/>
  <c r="BJ7" i="29"/>
  <c r="BK7" i="29"/>
  <c r="BL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BG9" i="29" s="1"/>
  <c r="AX9" i="29"/>
  <c r="AY9" i="29"/>
  <c r="AZ9" i="29"/>
  <c r="BA9" i="29"/>
  <c r="BB9" i="29"/>
  <c r="BC9" i="29"/>
  <c r="BH9" i="29"/>
  <c r="BI9" i="29"/>
  <c r="BJ9" i="29"/>
  <c r="BK9" i="29"/>
  <c r="BL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 s="1"/>
  <c r="BF11" i="29" s="1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BG12" i="29"/>
  <c r="AV13" i="29"/>
  <c r="AW13" i="29"/>
  <c r="AX13" i="29"/>
  <c r="AY13" i="29"/>
  <c r="AZ13" i="29"/>
  <c r="BA13" i="29"/>
  <c r="BB13" i="29"/>
  <c r="BC13" i="29"/>
  <c r="BD13" i="29"/>
  <c r="BE13" i="29"/>
  <c r="BF13" i="29" s="1"/>
  <c r="BK13" i="29" s="1"/>
  <c r="AV14" i="29"/>
  <c r="AW14" i="29"/>
  <c r="AX14" i="29"/>
  <c r="AY14" i="29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G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AX22" i="29"/>
  <c r="AY22" i="29"/>
  <c r="AZ22" i="29"/>
  <c r="BA22" i="29"/>
  <c r="BB22" i="29"/>
  <c r="BC22" i="29"/>
  <c r="BE22" i="29"/>
  <c r="BF22" i="29" s="1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BK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H26" i="29" s="1"/>
  <c r="AX26" i="29"/>
  <c r="AY26" i="29"/>
  <c r="AZ26" i="29"/>
  <c r="BA26" i="29"/>
  <c r="BB26" i="29"/>
  <c r="BC26" i="29"/>
  <c r="BG26" i="29"/>
  <c r="BI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BD28" i="29" s="1"/>
  <c r="AX28" i="29"/>
  <c r="AY28" i="29"/>
  <c r="AZ28" i="29"/>
  <c r="BA28" i="29"/>
  <c r="BB28" i="29"/>
  <c r="BC28" i="29"/>
  <c r="BG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I15" i="29" l="1"/>
  <c r="BJ22" i="29"/>
  <c r="BK21" i="29"/>
  <c r="BL21" i="29"/>
  <c r="BG21" i="29"/>
  <c r="BH21" i="29"/>
  <c r="BI21" i="29"/>
  <c r="BJ21" i="29"/>
  <c r="BG11" i="29"/>
  <c r="BH11" i="29"/>
  <c r="BI11" i="29"/>
  <c r="BL11" i="29"/>
  <c r="BJ11" i="29"/>
  <c r="BK11" i="29"/>
  <c r="BG19" i="29"/>
  <c r="BH19" i="29"/>
  <c r="BI19" i="29"/>
  <c r="BJ19" i="29"/>
  <c r="BK19" i="29"/>
  <c r="BL19" i="29"/>
  <c r="BG17" i="29"/>
  <c r="BH17" i="29"/>
  <c r="BI17" i="29"/>
  <c r="BJ17" i="29"/>
  <c r="BK17" i="29"/>
  <c r="BL17" i="29"/>
  <c r="BH8" i="29"/>
  <c r="BI8" i="29"/>
  <c r="BJ8" i="29"/>
  <c r="BK8" i="29"/>
  <c r="BL8" i="29"/>
  <c r="BG8" i="29"/>
  <c r="BJ15" i="29"/>
  <c r="BK15" i="29"/>
  <c r="BL15" i="29"/>
  <c r="BH15" i="29"/>
  <c r="BG15" i="29"/>
  <c r="BK5" i="29"/>
  <c r="BL5" i="29"/>
  <c r="BG5" i="29"/>
  <c r="BH5" i="29"/>
  <c r="BJ5" i="29"/>
  <c r="BI5" i="29"/>
  <c r="BK30" i="29"/>
  <c r="BI22" i="29"/>
  <c r="BH30" i="29"/>
  <c r="BJ28" i="29"/>
  <c r="BL26" i="29"/>
  <c r="BD26" i="29"/>
  <c r="BE26" i="29" s="1"/>
  <c r="BF26" i="29" s="1"/>
  <c r="BH22" i="29"/>
  <c r="BJ20" i="29"/>
  <c r="BD18" i="29"/>
  <c r="BI13" i="29"/>
  <c r="BJ12" i="29"/>
  <c r="BD10" i="29"/>
  <c r="BE10" i="29" s="1"/>
  <c r="BF10" i="29" s="1"/>
  <c r="BK10" i="29" s="1"/>
  <c r="BG7" i="29"/>
  <c r="BK28" i="29"/>
  <c r="BK20" i="29"/>
  <c r="BJ13" i="29"/>
  <c r="BK12" i="29"/>
  <c r="BG30" i="29"/>
  <c r="BG22" i="29"/>
  <c r="BI20" i="29"/>
  <c r="BH13" i="29"/>
  <c r="BI12" i="29"/>
  <c r="BD9" i="29"/>
  <c r="BE9" i="29" s="1"/>
  <c r="BF9" i="29" s="1"/>
  <c r="BI30" i="29"/>
  <c r="BE18" i="29"/>
  <c r="BF18" i="29" s="1"/>
  <c r="BL18" i="29" s="1"/>
  <c r="BI28" i="29"/>
  <c r="BK26" i="29"/>
  <c r="BH28" i="29"/>
  <c r="BJ26" i="29"/>
  <c r="BL24" i="29"/>
  <c r="BD24" i="29"/>
  <c r="BE24" i="29" s="1"/>
  <c r="BF24" i="29" s="1"/>
  <c r="BH20" i="29"/>
  <c r="BD16" i="29"/>
  <c r="BE16" i="29" s="1"/>
  <c r="BF16" i="29" s="1"/>
  <c r="BH16" i="29" s="1"/>
  <c r="BG13" i="29"/>
  <c r="BH12" i="29"/>
  <c r="BL30" i="29"/>
  <c r="BD30" i="29"/>
  <c r="BE30" i="29" s="1"/>
  <c r="BF30" i="29" s="1"/>
  <c r="BJ24" i="29"/>
  <c r="BL22" i="29"/>
  <c r="BD22" i="29"/>
  <c r="BD14" i="29"/>
  <c r="BE14" i="29" s="1"/>
  <c r="BF14" i="29" s="1"/>
  <c r="BK14" i="29" s="1"/>
  <c r="BD6" i="29"/>
  <c r="BE6" i="29" s="1"/>
  <c r="BF6" i="29" s="1"/>
  <c r="BJ6" i="29" s="1"/>
  <c r="BL13" i="29"/>
  <c r="BE4" i="29"/>
  <c r="BF4" i="29" s="1"/>
  <c r="BK4" i="29" s="1"/>
  <c r="BE28" i="29"/>
  <c r="BF28" i="29" s="1"/>
  <c r="BK22" i="29"/>
  <c r="BL28" i="29"/>
  <c r="BL20" i="29"/>
  <c r="BL12" i="29"/>
  <c r="BH6" i="29" l="1"/>
  <c r="BL14" i="29"/>
  <c r="BJ18" i="29"/>
  <c r="BG6" i="29"/>
  <c r="BJ10" i="29"/>
  <c r="BG10" i="29"/>
  <c r="BI10" i="29"/>
  <c r="BJ14" i="29"/>
  <c r="BI16" i="29"/>
  <c r="BJ16" i="29"/>
  <c r="BK16" i="29"/>
  <c r="BG16" i="29"/>
  <c r="BL10" i="29"/>
  <c r="BL16" i="29"/>
  <c r="BI14" i="29"/>
  <c r="BL4" i="29"/>
  <c r="BK6" i="29"/>
  <c r="BI6" i="29"/>
  <c r="BG18" i="29"/>
  <c r="BI18" i="29"/>
  <c r="BG14" i="29"/>
  <c r="BL6" i="29"/>
  <c r="BG4" i="29"/>
  <c r="BK18" i="29"/>
  <c r="BH14" i="29"/>
  <c r="BH10" i="29"/>
  <c r="BH4" i="29"/>
  <c r="BI4" i="29"/>
  <c r="BJ4" i="29"/>
  <c r="BH18" i="29"/>
  <c r="AF4" i="18" l="1"/>
  <c r="J3" i="7"/>
  <c r="K3" i="7"/>
  <c r="L3" i="7" s="1"/>
  <c r="M3" i="7"/>
  <c r="J4" i="7"/>
  <c r="K4" i="7"/>
  <c r="L4" i="7" s="1"/>
  <c r="M4" i="7"/>
  <c r="J5" i="7"/>
  <c r="K5" i="7"/>
  <c r="L5" i="7" s="1"/>
  <c r="M5" i="7"/>
  <c r="J6" i="7"/>
  <c r="K6" i="7" s="1"/>
  <c r="L6" i="7" s="1"/>
  <c r="M6" i="7"/>
  <c r="J7" i="7"/>
  <c r="K7" i="7"/>
  <c r="L7" i="7" s="1"/>
  <c r="M7" i="7"/>
  <c r="J8" i="7"/>
  <c r="K8" i="7"/>
  <c r="L8" i="7" s="1"/>
  <c r="M8" i="7"/>
  <c r="J9" i="7"/>
  <c r="K9" i="7"/>
  <c r="L9" i="7" s="1"/>
  <c r="M9" i="7"/>
  <c r="J10" i="7"/>
  <c r="K10" i="7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/>
  <c r="L13" i="7" s="1"/>
  <c r="M13" i="7"/>
  <c r="J14" i="7"/>
  <c r="K14" i="7"/>
  <c r="L14" i="7" s="1"/>
  <c r="M14" i="7"/>
  <c r="J15" i="7"/>
  <c r="K15" i="7"/>
  <c r="L15" i="7" s="1"/>
  <c r="M15" i="7"/>
  <c r="J16" i="7"/>
  <c r="K16" i="7"/>
  <c r="L16" i="7" s="1"/>
  <c r="M16" i="7"/>
  <c r="J17" i="7"/>
  <c r="K17" i="7"/>
  <c r="L17" i="7" s="1"/>
  <c r="M17" i="7"/>
  <c r="J18" i="7"/>
  <c r="K18" i="7"/>
  <c r="L18" i="7" s="1"/>
  <c r="M18" i="7"/>
  <c r="J19" i="7"/>
  <c r="K19" i="7"/>
  <c r="L19" i="7" s="1"/>
  <c r="M19" i="7"/>
  <c r="J20" i="7"/>
  <c r="K20" i="7"/>
  <c r="L20" i="7" s="1"/>
  <c r="M20" i="7"/>
  <c r="J21" i="7"/>
  <c r="K21" i="7"/>
  <c r="L21" i="7" s="1"/>
  <c r="M21" i="7"/>
  <c r="J2" i="7"/>
  <c r="B202" i="18"/>
  <c r="C202" i="18"/>
  <c r="D202" i="18"/>
  <c r="E202" i="18"/>
  <c r="F202" i="18"/>
  <c r="G202" i="18"/>
  <c r="H202" i="18"/>
  <c r="I202" i="18"/>
  <c r="J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V201" i="18"/>
  <c r="W201" i="18"/>
  <c r="X201" i="18"/>
  <c r="Y201" i="18"/>
  <c r="B201" i="18"/>
  <c r="C302" i="32"/>
  <c r="C299" i="32"/>
  <c r="C298" i="32"/>
  <c r="C297" i="32"/>
  <c r="C296" i="32"/>
  <c r="C295" i="32"/>
  <c r="O7" i="23"/>
  <c r="E211" i="18" l="1"/>
  <c r="U211" i="18"/>
  <c r="D211" i="18"/>
  <c r="X211" i="18"/>
  <c r="T211" i="18"/>
  <c r="V211" i="18"/>
  <c r="W211" i="18"/>
  <c r="H211" i="18"/>
  <c r="C211" i="18"/>
  <c r="Y211" i="18"/>
  <c r="I211" i="18"/>
  <c r="G211" i="18"/>
  <c r="F211" i="18"/>
  <c r="J211" i="18"/>
  <c r="B211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V112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AV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4" i="28"/>
  <c r="AV87" i="30" l="1"/>
  <c r="BS86" i="30"/>
  <c r="BS87" i="30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V77" i="31" s="1"/>
  <c r="DU66" i="31"/>
  <c r="DT66" i="31"/>
  <c r="DS66" i="31"/>
  <c r="DR66" i="31"/>
  <c r="DQ66" i="31"/>
  <c r="DP66" i="31"/>
  <c r="DO66" i="31"/>
  <c r="DN66" i="31"/>
  <c r="DN77" i="31" s="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V75" i="31" s="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0" i="32" s="1"/>
  <c r="AQ200" i="32" s="1"/>
  <c r="AJ198" i="32"/>
  <c r="AJ204" i="32" s="1"/>
  <c r="AK204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4" i="31"/>
  <c r="X92" i="31"/>
  <c r="AX92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Y201" i="29"/>
  <c r="X201" i="29"/>
  <c r="W201" i="29"/>
  <c r="V201" i="29"/>
  <c r="U201" i="29"/>
  <c r="T201" i="29"/>
  <c r="S201" i="29"/>
  <c r="R201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E201" i="29"/>
  <c r="D201" i="29"/>
  <c r="C201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Z196" i="29" s="1"/>
  <c r="AD76" i="30" s="1"/>
  <c r="Y181" i="29"/>
  <c r="X181" i="29"/>
  <c r="W181" i="29"/>
  <c r="W196" i="29" s="1"/>
  <c r="AA76" i="30" s="1"/>
  <c r="V181" i="29"/>
  <c r="V196" i="29" s="1"/>
  <c r="Z76" i="30" s="1"/>
  <c r="U181" i="29"/>
  <c r="U196" i="29" s="1"/>
  <c r="Y76" i="30" s="1"/>
  <c r="T181" i="29"/>
  <c r="S181" i="29"/>
  <c r="S196" i="29" s="1"/>
  <c r="W76" i="30" s="1"/>
  <c r="R181" i="29"/>
  <c r="Q181" i="29"/>
  <c r="P181" i="29"/>
  <c r="O181" i="29"/>
  <c r="O196" i="29" s="1"/>
  <c r="S76" i="30" s="1"/>
  <c r="N181" i="29"/>
  <c r="N196" i="29" s="1"/>
  <c r="R76" i="30" s="1"/>
  <c r="M181" i="29"/>
  <c r="M196" i="29" s="1"/>
  <c r="Q76" i="30" s="1"/>
  <c r="L181" i="29"/>
  <c r="L196" i="29" s="1"/>
  <c r="P76" i="30" s="1"/>
  <c r="K181" i="29"/>
  <c r="K196" i="29" s="1"/>
  <c r="O76" i="30" s="1"/>
  <c r="J181" i="29"/>
  <c r="J196" i="29" s="1"/>
  <c r="N76" i="30" s="1"/>
  <c r="I181" i="29"/>
  <c r="I196" i="29" s="1"/>
  <c r="M76" i="30" s="1"/>
  <c r="H181" i="29"/>
  <c r="G181" i="29"/>
  <c r="G196" i="29" s="1"/>
  <c r="K76" i="30" s="1"/>
  <c r="F181" i="29"/>
  <c r="F196" i="29" s="1"/>
  <c r="J76" i="30" s="1"/>
  <c r="E181" i="29"/>
  <c r="E196" i="29" s="1"/>
  <c r="I76" i="30" s="1"/>
  <c r="D181" i="29"/>
  <c r="D196" i="29" s="1"/>
  <c r="H76" i="30" s="1"/>
  <c r="C181" i="29"/>
  <c r="Z180" i="29"/>
  <c r="Y180" i="29"/>
  <c r="X180" i="29"/>
  <c r="W180" i="29"/>
  <c r="W195" i="29" s="1"/>
  <c r="AA75" i="30" s="1"/>
  <c r="V180" i="29"/>
  <c r="U180" i="29"/>
  <c r="T180" i="29"/>
  <c r="T195" i="29" s="1"/>
  <c r="X75" i="30" s="1"/>
  <c r="S180" i="29"/>
  <c r="R180" i="29"/>
  <c r="R195" i="29" s="1"/>
  <c r="V75" i="30" s="1"/>
  <c r="Q180" i="29"/>
  <c r="Q195" i="29" s="1"/>
  <c r="U75" i="30" s="1"/>
  <c r="P180" i="29"/>
  <c r="O180" i="29"/>
  <c r="O195" i="29" s="1"/>
  <c r="S75" i="30" s="1"/>
  <c r="N180" i="29"/>
  <c r="N195" i="29" s="1"/>
  <c r="R75" i="30" s="1"/>
  <c r="M180" i="29"/>
  <c r="L180" i="29"/>
  <c r="K180" i="29"/>
  <c r="K195" i="29" s="1"/>
  <c r="O75" i="30" s="1"/>
  <c r="J180" i="29"/>
  <c r="I180" i="29"/>
  <c r="I195" i="29" s="1"/>
  <c r="M75" i="30" s="1"/>
  <c r="H180" i="29"/>
  <c r="G180" i="29"/>
  <c r="G195" i="29" s="1"/>
  <c r="K75" i="30" s="1"/>
  <c r="F180" i="29"/>
  <c r="F195" i="29" s="1"/>
  <c r="J75" i="30" s="1"/>
  <c r="E180" i="29"/>
  <c r="D180" i="29"/>
  <c r="D195" i="29" s="1"/>
  <c r="H75" i="30" s="1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R162" i="29"/>
  <c r="Q162" i="29"/>
  <c r="J162" i="29"/>
  <c r="I162" i="29"/>
  <c r="AA161" i="29"/>
  <c r="Z161" i="29" s="1"/>
  <c r="L161" i="29"/>
  <c r="K161" i="29"/>
  <c r="AA160" i="29"/>
  <c r="W160" i="29" s="1"/>
  <c r="Z160" i="29"/>
  <c r="Y160" i="29"/>
  <c r="X160" i="29"/>
  <c r="S160" i="29"/>
  <c r="R160" i="29"/>
  <c r="Q160" i="29"/>
  <c r="P160" i="29"/>
  <c r="K160" i="29"/>
  <c r="J160" i="29"/>
  <c r="I160" i="29"/>
  <c r="H160" i="29"/>
  <c r="C160" i="29"/>
  <c r="AA159" i="29"/>
  <c r="Z159" i="29" s="1"/>
  <c r="L159" i="29"/>
  <c r="K159" i="29"/>
  <c r="AA158" i="29"/>
  <c r="W158" i="29" s="1"/>
  <c r="Z158" i="29"/>
  <c r="Y158" i="29"/>
  <c r="X158" i="29"/>
  <c r="S158" i="29"/>
  <c r="R158" i="29"/>
  <c r="Q158" i="29"/>
  <c r="P158" i="29"/>
  <c r="K158" i="29"/>
  <c r="J158" i="29"/>
  <c r="I158" i="29"/>
  <c r="H158" i="29"/>
  <c r="C158" i="29"/>
  <c r="AA157" i="29"/>
  <c r="X157" i="29" s="1"/>
  <c r="O157" i="29"/>
  <c r="N157" i="29"/>
  <c r="D157" i="29"/>
  <c r="C157" i="29"/>
  <c r="AA156" i="29"/>
  <c r="Z156" i="29" s="1"/>
  <c r="W156" i="29"/>
  <c r="V156" i="29"/>
  <c r="U156" i="29"/>
  <c r="T156" i="29"/>
  <c r="S156" i="29"/>
  <c r="O156" i="29"/>
  <c r="N156" i="29"/>
  <c r="M156" i="29"/>
  <c r="L156" i="29"/>
  <c r="K156" i="29"/>
  <c r="G156" i="29"/>
  <c r="F156" i="29"/>
  <c r="E156" i="29"/>
  <c r="D156" i="29"/>
  <c r="C156" i="29"/>
  <c r="AA155" i="29"/>
  <c r="AA154" i="29"/>
  <c r="W154" i="29" s="1"/>
  <c r="Z154" i="29"/>
  <c r="Y154" i="29"/>
  <c r="X154" i="29"/>
  <c r="S154" i="29"/>
  <c r="R154" i="29"/>
  <c r="Q154" i="29"/>
  <c r="P154" i="29"/>
  <c r="K154" i="29"/>
  <c r="J154" i="29"/>
  <c r="I154" i="29"/>
  <c r="H154" i="29"/>
  <c r="C154" i="29"/>
  <c r="AA153" i="29"/>
  <c r="S153" i="29" s="1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C130" i="32" s="1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M130" i="32" s="1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X74" i="31" s="1"/>
  <c r="CW52" i="31"/>
  <c r="CV52" i="31"/>
  <c r="CU52" i="31"/>
  <c r="CT52" i="31"/>
  <c r="CS52" i="31"/>
  <c r="CR52" i="31"/>
  <c r="CQ52" i="31"/>
  <c r="CP52" i="31"/>
  <c r="CP74" i="31" s="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C119" i="29" s="1"/>
  <c r="Z119" i="29"/>
  <c r="AA118" i="29"/>
  <c r="Y118" i="29"/>
  <c r="X118" i="29"/>
  <c r="U118" i="29"/>
  <c r="Q118" i="29"/>
  <c r="P118" i="29"/>
  <c r="O118" i="29"/>
  <c r="N118" i="29"/>
  <c r="M118" i="29"/>
  <c r="K118" i="29"/>
  <c r="H118" i="29"/>
  <c r="G118" i="29"/>
  <c r="F118" i="29"/>
  <c r="E118" i="29"/>
  <c r="D118" i="29"/>
  <c r="AA117" i="29"/>
  <c r="S117" i="29" s="1"/>
  <c r="C117" i="29"/>
  <c r="AA116" i="29"/>
  <c r="X116" i="29" s="1"/>
  <c r="Z116" i="29"/>
  <c r="Y116" i="29"/>
  <c r="W116" i="29"/>
  <c r="U116" i="29"/>
  <c r="T116" i="29"/>
  <c r="S116" i="29"/>
  <c r="R116" i="29"/>
  <c r="Q116" i="29"/>
  <c r="O116" i="29"/>
  <c r="M116" i="29"/>
  <c r="L116" i="29"/>
  <c r="K116" i="29"/>
  <c r="J116" i="29"/>
  <c r="I116" i="29"/>
  <c r="G116" i="29"/>
  <c r="E116" i="29"/>
  <c r="D116" i="29"/>
  <c r="C116" i="29"/>
  <c r="AA115" i="29"/>
  <c r="AA114" i="29"/>
  <c r="Z114" i="29" s="1"/>
  <c r="X114" i="29"/>
  <c r="W114" i="29"/>
  <c r="U114" i="29"/>
  <c r="T114" i="29"/>
  <c r="R114" i="29"/>
  <c r="P114" i="29"/>
  <c r="O114" i="29"/>
  <c r="M114" i="29"/>
  <c r="L114" i="29"/>
  <c r="J114" i="29"/>
  <c r="H114" i="29"/>
  <c r="G114" i="29"/>
  <c r="E114" i="29"/>
  <c r="D114" i="29"/>
  <c r="AA113" i="29"/>
  <c r="Z113" i="29"/>
  <c r="S113" i="29"/>
  <c r="R113" i="29"/>
  <c r="K113" i="29"/>
  <c r="J113" i="29"/>
  <c r="C113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AA111" i="29"/>
  <c r="Q111" i="29" s="1"/>
  <c r="V111" i="29"/>
  <c r="T111" i="29"/>
  <c r="I111" i="29"/>
  <c r="E111" i="29"/>
  <c r="D111" i="29"/>
  <c r="AA110" i="29"/>
  <c r="Y110" i="29" s="1"/>
  <c r="W110" i="29"/>
  <c r="V110" i="29"/>
  <c r="R110" i="29"/>
  <c r="O110" i="29"/>
  <c r="K110" i="29"/>
  <c r="G110" i="29"/>
  <c r="F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L159" i="32" s="1"/>
  <c r="BK107" i="32"/>
  <c r="BJ107" i="32"/>
  <c r="BI107" i="32"/>
  <c r="BH107" i="32"/>
  <c r="BG107" i="32"/>
  <c r="BF107" i="32"/>
  <c r="BE107" i="32"/>
  <c r="BD107" i="32"/>
  <c r="BD159" i="32" s="1"/>
  <c r="BC107" i="32"/>
  <c r="BB107" i="32"/>
  <c r="BA107" i="32"/>
  <c r="AZ107" i="32"/>
  <c r="AY107" i="32"/>
  <c r="AX107" i="32"/>
  <c r="AW107" i="32"/>
  <c r="AV107" i="32"/>
  <c r="AV159" i="32" s="1"/>
  <c r="BS106" i="32"/>
  <c r="BR106" i="32"/>
  <c r="BQ106" i="32"/>
  <c r="BP106" i="32"/>
  <c r="BO106" i="32"/>
  <c r="BN106" i="32"/>
  <c r="BM106" i="32"/>
  <c r="BM158" i="32" s="1"/>
  <c r="BL106" i="32"/>
  <c r="BK106" i="32"/>
  <c r="BJ106" i="32"/>
  <c r="BI106" i="32"/>
  <c r="BH106" i="32"/>
  <c r="BG106" i="32"/>
  <c r="BF106" i="32"/>
  <c r="BE106" i="32"/>
  <c r="BE158" i="32" s="1"/>
  <c r="BD106" i="32"/>
  <c r="BC106" i="32"/>
  <c r="BB106" i="32"/>
  <c r="BA106" i="32"/>
  <c r="AZ106" i="32"/>
  <c r="AY106" i="32"/>
  <c r="AX106" i="32"/>
  <c r="AW106" i="32"/>
  <c r="AW158" i="32" s="1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I155" i="32" s="1"/>
  <c r="BH102" i="32"/>
  <c r="BG102" i="32"/>
  <c r="BF102" i="32"/>
  <c r="BE102" i="32"/>
  <c r="BD102" i="32"/>
  <c r="BD155" i="32" s="1"/>
  <c r="BC102" i="32"/>
  <c r="BB102" i="32"/>
  <c r="BA102" i="32"/>
  <c r="BA155" i="32" s="1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W151" i="32" s="1"/>
  <c r="AV98" i="32"/>
  <c r="AV151" i="32" s="1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D75" i="31" s="1"/>
  <c r="BC64" i="31"/>
  <c r="BB64" i="31"/>
  <c r="BA64" i="31"/>
  <c r="AZ64" i="31"/>
  <c r="AY64" i="31"/>
  <c r="AX64" i="31"/>
  <c r="AW64" i="31"/>
  <c r="AV64" i="31"/>
  <c r="AV75" i="31" s="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D74" i="31" s="1"/>
  <c r="BC63" i="31"/>
  <c r="BB63" i="31"/>
  <c r="BA63" i="31"/>
  <c r="AZ63" i="31"/>
  <c r="AY63" i="31"/>
  <c r="AX63" i="31"/>
  <c r="AW63" i="31"/>
  <c r="AV63" i="31"/>
  <c r="AV74" i="31" s="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V73" i="31" s="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D72" i="31" s="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D71" i="31" s="1"/>
  <c r="BC60" i="31"/>
  <c r="BB60" i="31"/>
  <c r="BA60" i="31"/>
  <c r="AZ60" i="31"/>
  <c r="AY60" i="31"/>
  <c r="AX60" i="31"/>
  <c r="AW60" i="31"/>
  <c r="AV60" i="31"/>
  <c r="AV71" i="31" s="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D70" i="31" s="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S78" i="31" s="1"/>
  <c r="BR56" i="31"/>
  <c r="BQ56" i="31"/>
  <c r="BP56" i="31"/>
  <c r="BO56" i="31"/>
  <c r="BN56" i="31"/>
  <c r="BM56" i="31"/>
  <c r="BL56" i="31"/>
  <c r="BK56" i="31"/>
  <c r="BK78" i="31" s="1"/>
  <c r="BJ56" i="31"/>
  <c r="BI56" i="31"/>
  <c r="BH56" i="31"/>
  <c r="BG56" i="31"/>
  <c r="BF56" i="31"/>
  <c r="BE56" i="31"/>
  <c r="BD56" i="31"/>
  <c r="BC56" i="31"/>
  <c r="BC78" i="31" s="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L77" i="31" s="1"/>
  <c r="BK55" i="31"/>
  <c r="BJ55" i="31"/>
  <c r="BI55" i="31"/>
  <c r="BH55" i="31"/>
  <c r="BG55" i="31"/>
  <c r="BF55" i="31"/>
  <c r="BE55" i="31"/>
  <c r="BD55" i="31"/>
  <c r="BD77" i="31" s="1"/>
  <c r="BC55" i="31"/>
  <c r="BB55" i="31"/>
  <c r="BA55" i="31"/>
  <c r="AZ55" i="31"/>
  <c r="AY55" i="31"/>
  <c r="AX55" i="31"/>
  <c r="AW55" i="31"/>
  <c r="AV55" i="31"/>
  <c r="AV77" i="31" s="1"/>
  <c r="BS54" i="31"/>
  <c r="BR54" i="31"/>
  <c r="BR76" i="31" s="1"/>
  <c r="BQ54" i="31"/>
  <c r="BP54" i="31"/>
  <c r="BO54" i="31"/>
  <c r="BN54" i="31"/>
  <c r="BM54" i="31"/>
  <c r="BL54" i="31"/>
  <c r="BK54" i="31"/>
  <c r="BJ54" i="31"/>
  <c r="BJ76" i="31" s="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B75" i="31" s="1"/>
  <c r="BA53" i="31"/>
  <c r="AZ53" i="31"/>
  <c r="AY53" i="31"/>
  <c r="AX53" i="31"/>
  <c r="AW53" i="31"/>
  <c r="AV53" i="31"/>
  <c r="BS52" i="31"/>
  <c r="BR52" i="31"/>
  <c r="BQ52" i="31"/>
  <c r="BQ74" i="31" s="1"/>
  <c r="BP52" i="31"/>
  <c r="BO52" i="31"/>
  <c r="BO74" i="31" s="1"/>
  <c r="BN52" i="31"/>
  <c r="BM52" i="31"/>
  <c r="BL52" i="31"/>
  <c r="BK52" i="31"/>
  <c r="BJ52" i="31"/>
  <c r="BI52" i="31"/>
  <c r="BI74" i="31" s="1"/>
  <c r="BH52" i="31"/>
  <c r="BG52" i="31"/>
  <c r="BF52" i="31"/>
  <c r="BE52" i="31"/>
  <c r="BD52" i="31"/>
  <c r="BC52" i="31"/>
  <c r="BB52" i="31"/>
  <c r="BB74" i="31" s="1"/>
  <c r="BA52" i="31"/>
  <c r="BA74" i="31" s="1"/>
  <c r="AZ52" i="31"/>
  <c r="AY52" i="31"/>
  <c r="AX52" i="31"/>
  <c r="AX74" i="31" s="1"/>
  <c r="AW52" i="31"/>
  <c r="AV52" i="31"/>
  <c r="BS51" i="31"/>
  <c r="BR51" i="31"/>
  <c r="BR73" i="31" s="1"/>
  <c r="BQ51" i="31"/>
  <c r="BP51" i="31"/>
  <c r="BO51" i="31"/>
  <c r="BO73" i="31" s="1"/>
  <c r="BN51" i="31"/>
  <c r="BN73" i="31" s="1"/>
  <c r="BM51" i="31"/>
  <c r="BL51" i="31"/>
  <c r="BK51" i="31"/>
  <c r="BJ51" i="31"/>
  <c r="BJ73" i="31" s="1"/>
  <c r="BI51" i="31"/>
  <c r="BH51" i="31"/>
  <c r="BG51" i="31"/>
  <c r="BF51" i="31"/>
  <c r="BE51" i="31"/>
  <c r="BD51" i="31"/>
  <c r="BC51" i="31"/>
  <c r="BB51" i="31"/>
  <c r="BB73" i="31" s="1"/>
  <c r="BA51" i="31"/>
  <c r="AZ51" i="31"/>
  <c r="AY51" i="31"/>
  <c r="AY73" i="31" s="1"/>
  <c r="AX51" i="31"/>
  <c r="AX73" i="31" s="1"/>
  <c r="AW51" i="31"/>
  <c r="AV51" i="31"/>
  <c r="BS50" i="31"/>
  <c r="BR50" i="31"/>
  <c r="BR72" i="31" s="1"/>
  <c r="BQ50" i="31"/>
  <c r="BP50" i="31"/>
  <c r="BO50" i="31"/>
  <c r="BO72" i="31" s="1"/>
  <c r="BN50" i="31"/>
  <c r="BN72" i="31" s="1"/>
  <c r="BM50" i="31"/>
  <c r="BL50" i="31"/>
  <c r="BK50" i="31"/>
  <c r="BJ50" i="31"/>
  <c r="BJ72" i="31" s="1"/>
  <c r="BI50" i="31"/>
  <c r="BH50" i="31"/>
  <c r="BG50" i="31"/>
  <c r="BF50" i="31"/>
  <c r="BE50" i="31"/>
  <c r="BD50" i="31"/>
  <c r="BC50" i="31"/>
  <c r="BB50" i="31"/>
  <c r="BB72" i="31" s="1"/>
  <c r="BA50" i="31"/>
  <c r="AZ50" i="31"/>
  <c r="AY50" i="31"/>
  <c r="AY72" i="31" s="1"/>
  <c r="AX50" i="31"/>
  <c r="AX72" i="31" s="1"/>
  <c r="AW50" i="31"/>
  <c r="AV50" i="31"/>
  <c r="BS49" i="31"/>
  <c r="BR49" i="31"/>
  <c r="BR71" i="31" s="1"/>
  <c r="BQ49" i="31"/>
  <c r="BP49" i="31"/>
  <c r="BO49" i="31"/>
  <c r="BO71" i="31" s="1"/>
  <c r="BN49" i="31"/>
  <c r="BN71" i="31" s="1"/>
  <c r="BM49" i="31"/>
  <c r="BL49" i="31"/>
  <c r="BK49" i="31"/>
  <c r="BJ49" i="31"/>
  <c r="BJ71" i="31" s="1"/>
  <c r="BI49" i="31"/>
  <c r="BH49" i="31"/>
  <c r="BH60" i="31" s="1"/>
  <c r="BH71" i="31" s="1"/>
  <c r="BG49" i="31"/>
  <c r="BF49" i="31"/>
  <c r="BE49" i="31"/>
  <c r="BD49" i="31"/>
  <c r="BC49" i="31"/>
  <c r="BB49" i="31"/>
  <c r="BA49" i="31"/>
  <c r="AZ49" i="31"/>
  <c r="AY49" i="31"/>
  <c r="AY71" i="31" s="1"/>
  <c r="AX49" i="31"/>
  <c r="AX71" i="31" s="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J70" i="31" s="1"/>
  <c r="BI48" i="31"/>
  <c r="BH48" i="31"/>
  <c r="BG48" i="31"/>
  <c r="BF48" i="31"/>
  <c r="BE48" i="31"/>
  <c r="BD48" i="31"/>
  <c r="BC48" i="31"/>
  <c r="BB48" i="31"/>
  <c r="BB70" i="31" s="1"/>
  <c r="BA48" i="31"/>
  <c r="AZ48" i="31"/>
  <c r="AY48" i="31"/>
  <c r="AX48" i="31"/>
  <c r="AX70" i="31" s="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P94" i="30" s="1"/>
  <c r="BO41" i="30"/>
  <c r="BN41" i="30"/>
  <c r="BM41" i="30"/>
  <c r="BL41" i="30"/>
  <c r="BK41" i="30"/>
  <c r="BJ41" i="30"/>
  <c r="BI41" i="30"/>
  <c r="BH41" i="30"/>
  <c r="BH94" i="30" s="1"/>
  <c r="BG41" i="30"/>
  <c r="BF41" i="30"/>
  <c r="BF94" i="30" s="1"/>
  <c r="BE41" i="30"/>
  <c r="BD41" i="30"/>
  <c r="BC41" i="30"/>
  <c r="BB41" i="30"/>
  <c r="BA41" i="30"/>
  <c r="AZ41" i="30"/>
  <c r="AZ94" i="30" s="1"/>
  <c r="AY41" i="30"/>
  <c r="AX41" i="30"/>
  <c r="AX94" i="30" s="1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P92" i="30" s="1"/>
  <c r="BO39" i="30"/>
  <c r="BN39" i="30"/>
  <c r="BN92" i="30" s="1"/>
  <c r="BM39" i="30"/>
  <c r="BL39" i="30"/>
  <c r="BK39" i="30"/>
  <c r="BJ39" i="30"/>
  <c r="BI39" i="30"/>
  <c r="BH39" i="30"/>
  <c r="BH92" i="30" s="1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I91" i="30" s="1"/>
  <c r="BH38" i="30"/>
  <c r="BH91" i="30" s="1"/>
  <c r="BG38" i="30"/>
  <c r="BF38" i="30"/>
  <c r="BE38" i="30"/>
  <c r="BD38" i="30"/>
  <c r="BC38" i="30"/>
  <c r="BB38" i="30"/>
  <c r="BA38" i="30"/>
  <c r="BA91" i="30" s="1"/>
  <c r="AZ38" i="30"/>
  <c r="AZ91" i="30" s="1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R24" i="30" s="1"/>
  <c r="BQ13" i="30"/>
  <c r="BP13" i="30"/>
  <c r="BO13" i="30"/>
  <c r="BN13" i="30"/>
  <c r="BN24" i="30" s="1"/>
  <c r="BM13" i="30"/>
  <c r="BL13" i="30"/>
  <c r="BK13" i="30"/>
  <c r="BJ13" i="30"/>
  <c r="BJ24" i="30" s="1"/>
  <c r="BI13" i="30"/>
  <c r="BH13" i="30"/>
  <c r="BG13" i="30"/>
  <c r="BF13" i="30"/>
  <c r="BF24" i="30" s="1"/>
  <c r="BE13" i="30"/>
  <c r="BD13" i="30"/>
  <c r="BC13" i="30"/>
  <c r="BB13" i="30"/>
  <c r="BB24" i="30" s="1"/>
  <c r="BA13" i="30"/>
  <c r="AZ13" i="30"/>
  <c r="AY13" i="30"/>
  <c r="AX13" i="30"/>
  <c r="AX24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M19" i="30" s="1"/>
  <c r="BL8" i="30"/>
  <c r="BK8" i="30"/>
  <c r="BJ8" i="30"/>
  <c r="BI8" i="30"/>
  <c r="BH8" i="30"/>
  <c r="BG8" i="30"/>
  <c r="BF8" i="30"/>
  <c r="BE8" i="30"/>
  <c r="BE19" i="30" s="1"/>
  <c r="BD8" i="30"/>
  <c r="BC8" i="30"/>
  <c r="BB8" i="30"/>
  <c r="BA8" i="30"/>
  <c r="AZ8" i="30"/>
  <c r="AY8" i="30"/>
  <c r="AX8" i="30"/>
  <c r="AW8" i="30"/>
  <c r="AW19" i="30" s="1"/>
  <c r="AV8" i="30"/>
  <c r="BS7" i="30"/>
  <c r="BR7" i="30"/>
  <c r="BQ7" i="30"/>
  <c r="BP7" i="30"/>
  <c r="BO7" i="30"/>
  <c r="BN7" i="30"/>
  <c r="BM7" i="30"/>
  <c r="BM18" i="30" s="1"/>
  <c r="BL7" i="30"/>
  <c r="BK7" i="30"/>
  <c r="BJ7" i="30"/>
  <c r="BI7" i="30"/>
  <c r="BH7" i="30"/>
  <c r="BG7" i="30"/>
  <c r="BF7" i="30"/>
  <c r="BE7" i="30"/>
  <c r="BE18" i="30" s="1"/>
  <c r="BD7" i="30"/>
  <c r="BC7" i="30"/>
  <c r="BB7" i="30"/>
  <c r="BA7" i="30"/>
  <c r="AZ7" i="30"/>
  <c r="AY7" i="30"/>
  <c r="AX7" i="30"/>
  <c r="AW7" i="30"/>
  <c r="AW93" i="30" s="1"/>
  <c r="AV7" i="30"/>
  <c r="BS6" i="30"/>
  <c r="BR6" i="30"/>
  <c r="BQ6" i="30"/>
  <c r="BP6" i="30"/>
  <c r="BO6" i="30"/>
  <c r="BN6" i="30"/>
  <c r="BM6" i="30"/>
  <c r="BM17" i="30" s="1"/>
  <c r="BL6" i="30"/>
  <c r="BK6" i="30"/>
  <c r="BJ6" i="30"/>
  <c r="BI6" i="30"/>
  <c r="BH6" i="30"/>
  <c r="BG6" i="30"/>
  <c r="BF6" i="30"/>
  <c r="BE6" i="30"/>
  <c r="BE17" i="30" s="1"/>
  <c r="BD6" i="30"/>
  <c r="BC6" i="30"/>
  <c r="BB6" i="30"/>
  <c r="BA6" i="30"/>
  <c r="AZ6" i="30"/>
  <c r="AY6" i="30"/>
  <c r="AX6" i="30"/>
  <c r="AW6" i="30"/>
  <c r="AW17" i="30" s="1"/>
  <c r="AV6" i="30"/>
  <c r="BS5" i="30"/>
  <c r="BR5" i="30"/>
  <c r="BQ5" i="30"/>
  <c r="BP5" i="30"/>
  <c r="BO5" i="30"/>
  <c r="BN5" i="30"/>
  <c r="BM5" i="30"/>
  <c r="BM16" i="30" s="1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W16" i="30" s="1"/>
  <c r="AV5" i="30"/>
  <c r="BS4" i="30"/>
  <c r="BR4" i="30"/>
  <c r="BQ4" i="30"/>
  <c r="BP4" i="30"/>
  <c r="BO4" i="30"/>
  <c r="BN4" i="30"/>
  <c r="BN15" i="30" s="1"/>
  <c r="BM4" i="30"/>
  <c r="BL4" i="30"/>
  <c r="BK4" i="30"/>
  <c r="BJ4" i="30"/>
  <c r="BI4" i="30"/>
  <c r="BH4" i="30"/>
  <c r="BG4" i="30"/>
  <c r="BF4" i="30"/>
  <c r="BF15" i="30" s="1"/>
  <c r="BE4" i="30"/>
  <c r="BD4" i="30"/>
  <c r="BD90" i="30" s="1"/>
  <c r="BC4" i="30"/>
  <c r="BB4" i="30"/>
  <c r="BA4" i="30"/>
  <c r="AZ4" i="30"/>
  <c r="AY4" i="30"/>
  <c r="AX4" i="30"/>
  <c r="AX15" i="30" s="1"/>
  <c r="AW4" i="30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P72" i="29" s="1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F71" i="29" s="1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W4" i="29" s="1"/>
  <c r="V81" i="29"/>
  <c r="U81" i="29"/>
  <c r="T81" i="29"/>
  <c r="S81" i="29"/>
  <c r="S4" i="29" s="1"/>
  <c r="R81" i="29"/>
  <c r="Q81" i="29"/>
  <c r="P81" i="29"/>
  <c r="O81" i="29"/>
  <c r="N81" i="29"/>
  <c r="M81" i="29"/>
  <c r="L81" i="29"/>
  <c r="K81" i="29"/>
  <c r="K4" i="29" s="1"/>
  <c r="J81" i="29"/>
  <c r="I81" i="29"/>
  <c r="H81" i="29"/>
  <c r="H4" i="29" s="1"/>
  <c r="G81" i="29"/>
  <c r="G4" i="29" s="1"/>
  <c r="F81" i="29"/>
  <c r="E81" i="29"/>
  <c r="D81" i="29"/>
  <c r="C81" i="29"/>
  <c r="AA77" i="29"/>
  <c r="V77" i="29" s="1"/>
  <c r="AA76" i="29"/>
  <c r="U76" i="29" s="1"/>
  <c r="P76" i="29"/>
  <c r="E76" i="29"/>
  <c r="AA75" i="29"/>
  <c r="V75" i="29" s="1"/>
  <c r="F75" i="29"/>
  <c r="AA74" i="29"/>
  <c r="U74" i="29" s="1"/>
  <c r="P74" i="29"/>
  <c r="E74" i="29"/>
  <c r="AA73" i="29"/>
  <c r="V73" i="29" s="1"/>
  <c r="F73" i="29"/>
  <c r="AA72" i="29"/>
  <c r="U72" i="29" s="1"/>
  <c r="AA71" i="29"/>
  <c r="AA70" i="29"/>
  <c r="AA69" i="29"/>
  <c r="V69" i="29" s="1"/>
  <c r="AA68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J126" i="31" s="1"/>
  <c r="C125" i="31"/>
  <c r="B125" i="31"/>
  <c r="C124" i="31"/>
  <c r="B124" i="31"/>
  <c r="C123" i="31"/>
  <c r="B123" i="31"/>
  <c r="C122" i="31"/>
  <c r="B122" i="31"/>
  <c r="T41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V25" i="28" s="1"/>
  <c r="U24" i="28"/>
  <c r="T24" i="28"/>
  <c r="D256" i="32"/>
  <c r="D255" i="32"/>
  <c r="D254" i="32"/>
  <c r="C229" i="32"/>
  <c r="K225" i="32"/>
  <c r="K224" i="32"/>
  <c r="K223" i="32"/>
  <c r="AL207" i="32"/>
  <c r="D210" i="32" s="1"/>
  <c r="BN156" i="32"/>
  <c r="AE135" i="32"/>
  <c r="W135" i="32"/>
  <c r="O135" i="32"/>
  <c r="Z136" i="32"/>
  <c r="P131" i="32"/>
  <c r="V140" i="32"/>
  <c r="R136" i="32"/>
  <c r="J136" i="32"/>
  <c r="X131" i="32"/>
  <c r="V131" i="32"/>
  <c r="U130" i="32"/>
  <c r="Q139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G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K159" i="32"/>
  <c r="BJ159" i="32"/>
  <c r="BI159" i="32"/>
  <c r="BH159" i="32"/>
  <c r="BG159" i="32"/>
  <c r="BF159" i="32"/>
  <c r="BE159" i="32"/>
  <c r="BC159" i="32"/>
  <c r="BB159" i="32"/>
  <c r="BA159" i="32"/>
  <c r="AZ159" i="32"/>
  <c r="AY159" i="32"/>
  <c r="AX159" i="32"/>
  <c r="AW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T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L158" i="32"/>
  <c r="BK158" i="32"/>
  <c r="BJ158" i="32"/>
  <c r="BI158" i="32"/>
  <c r="BH158" i="32"/>
  <c r="BG158" i="32"/>
  <c r="BF158" i="32"/>
  <c r="BD158" i="32"/>
  <c r="BC158" i="32"/>
  <c r="BB158" i="32"/>
  <c r="BA158" i="32"/>
  <c r="AZ158" i="32"/>
  <c r="AY158" i="32"/>
  <c r="AX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M157" i="32"/>
  <c r="BL157" i="32"/>
  <c r="BK157" i="32"/>
  <c r="BJ157" i="32"/>
  <c r="BI157" i="32"/>
  <c r="BH157" i="32"/>
  <c r="BG157" i="32"/>
  <c r="BE157" i="32"/>
  <c r="BD157" i="32"/>
  <c r="BC157" i="32"/>
  <c r="BB157" i="32"/>
  <c r="BA157" i="32"/>
  <c r="AZ157" i="32"/>
  <c r="AY157" i="32"/>
  <c r="AW157" i="32"/>
  <c r="AV157" i="32"/>
  <c r="AE139" i="32"/>
  <c r="AA130" i="32"/>
  <c r="W139" i="32"/>
  <c r="S139" i="32"/>
  <c r="O139" i="32"/>
  <c r="K139" i="32"/>
  <c r="EB156" i="32"/>
  <c r="EA156" i="32"/>
  <c r="DZ156" i="32"/>
  <c r="DY156" i="32"/>
  <c r="DX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BA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Q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K155" i="32"/>
  <c r="BJ155" i="32"/>
  <c r="BH155" i="32"/>
  <c r="BG155" i="32"/>
  <c r="BF155" i="32"/>
  <c r="BE155" i="32"/>
  <c r="BC155" i="32"/>
  <c r="BB155" i="32"/>
  <c r="AZ155" i="32"/>
  <c r="AY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H153" i="32"/>
  <c r="CG153" i="32"/>
  <c r="CF153" i="32"/>
  <c r="CE153" i="32"/>
  <c r="CD153" i="32"/>
  <c r="CC153" i="32"/>
  <c r="CB153" i="32"/>
  <c r="EB152" i="32"/>
  <c r="EA152" i="32"/>
  <c r="DZ152" i="32"/>
  <c r="DY152" i="32"/>
  <c r="DX152" i="32"/>
  <c r="DW152" i="32"/>
  <c r="DV152" i="32"/>
  <c r="DU152" i="32"/>
  <c r="DT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Y152" i="32"/>
  <c r="CX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CE152" i="32"/>
  <c r="CD152" i="32"/>
  <c r="CC152" i="32"/>
  <c r="CB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Y151" i="32"/>
  <c r="CX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CI151" i="32"/>
  <c r="CH151" i="32"/>
  <c r="CG151" i="32"/>
  <c r="CF151" i="32"/>
  <c r="CE151" i="32"/>
  <c r="CD151" i="32"/>
  <c r="CC151" i="32"/>
  <c r="CB151" i="32"/>
  <c r="BS151" i="32"/>
  <c r="BR151" i="32"/>
  <c r="BQ151" i="32"/>
  <c r="BP151" i="32"/>
  <c r="BO151" i="32"/>
  <c r="BN151" i="32"/>
  <c r="BL151" i="32"/>
  <c r="BK151" i="32"/>
  <c r="BJ151" i="32"/>
  <c r="BI151" i="32"/>
  <c r="BH151" i="32"/>
  <c r="BG151" i="32"/>
  <c r="BF151" i="32"/>
  <c r="BA151" i="32"/>
  <c r="AZ151" i="32"/>
  <c r="AY151" i="32"/>
  <c r="AX151" i="32"/>
  <c r="EA96" i="32"/>
  <c r="DY96" i="32"/>
  <c r="DW96" i="32"/>
  <c r="DV96" i="32"/>
  <c r="DU96" i="32"/>
  <c r="DQ96" i="32"/>
  <c r="DN96" i="32"/>
  <c r="DM96" i="32"/>
  <c r="DK96" i="32"/>
  <c r="DJ96" i="32"/>
  <c r="DI96" i="32"/>
  <c r="DF96" i="32"/>
  <c r="DD96" i="32"/>
  <c r="CX96" i="32"/>
  <c r="CT96" i="32"/>
  <c r="CP96" i="32"/>
  <c r="CA96" i="32"/>
  <c r="BR96" i="32"/>
  <c r="BP96" i="32"/>
  <c r="BN96" i="32"/>
  <c r="BM96" i="32"/>
  <c r="BE96" i="32"/>
  <c r="BB96" i="32"/>
  <c r="AZ96" i="32"/>
  <c r="AW96" i="32"/>
  <c r="AU96" i="32"/>
  <c r="BF96" i="32" s="1"/>
  <c r="AT159" i="32"/>
  <c r="V138" i="32"/>
  <c r="DW95" i="32"/>
  <c r="DD95" i="32"/>
  <c r="CU95" i="32"/>
  <c r="CE95" i="32"/>
  <c r="CA95" i="32"/>
  <c r="BR95" i="32"/>
  <c r="BM95" i="32"/>
  <c r="BI95" i="32"/>
  <c r="BF95" i="32"/>
  <c r="BB95" i="32"/>
  <c r="AX95" i="32"/>
  <c r="AW95" i="32"/>
  <c r="AU95" i="32"/>
  <c r="BJ95" i="32" s="1"/>
  <c r="AT158" i="32"/>
  <c r="DS94" i="32"/>
  <c r="DK94" i="32"/>
  <c r="DG94" i="32"/>
  <c r="DD94" i="32"/>
  <c r="EA94" i="32" s="1"/>
  <c r="DC94" i="32"/>
  <c r="DC157" i="32" s="1"/>
  <c r="CB94" i="32"/>
  <c r="CA94" i="32"/>
  <c r="BR94" i="32"/>
  <c r="AU94" i="32"/>
  <c r="R129" i="32"/>
  <c r="EB93" i="32"/>
  <c r="DX93" i="32"/>
  <c r="DL93" i="32"/>
  <c r="DD93" i="32"/>
  <c r="CW93" i="32"/>
  <c r="CG93" i="32"/>
  <c r="CA93" i="32"/>
  <c r="BZ93" i="32"/>
  <c r="BO93" i="32"/>
  <c r="BC93" i="32"/>
  <c r="AY93" i="32"/>
  <c r="AU93" i="32"/>
  <c r="CC93" i="32" s="1"/>
  <c r="DD92" i="32"/>
  <c r="CS92" i="32"/>
  <c r="CC92" i="32"/>
  <c r="CA92" i="32"/>
  <c r="BL92" i="32"/>
  <c r="AV92" i="32"/>
  <c r="AU92" i="32"/>
  <c r="AT156" i="32"/>
  <c r="DT91" i="32"/>
  <c r="DD91" i="32"/>
  <c r="EB91" i="32" s="1"/>
  <c r="CW91" i="32"/>
  <c r="CS91" i="32"/>
  <c r="CH91" i="32"/>
  <c r="CA91" i="32"/>
  <c r="BP91" i="32"/>
  <c r="BH91" i="32"/>
  <c r="BG91" i="32"/>
  <c r="AY91" i="32"/>
  <c r="AV91" i="32"/>
  <c r="AU91" i="32"/>
  <c r="CP91" i="32" s="1"/>
  <c r="AT155" i="32"/>
  <c r="DU90" i="32"/>
  <c r="DP90" i="32"/>
  <c r="DM90" i="32"/>
  <c r="DH90" i="32"/>
  <c r="DE90" i="32"/>
  <c r="DD90" i="32"/>
  <c r="DY90" i="32" s="1"/>
  <c r="CA90" i="32"/>
  <c r="BZ90" i="32"/>
  <c r="BZ154" i="32" s="1"/>
  <c r="AU90" i="32"/>
  <c r="AT154" i="32"/>
  <c r="DD89" i="32"/>
  <c r="CA89" i="32"/>
  <c r="CW89" i="32" s="1"/>
  <c r="BZ89" i="32"/>
  <c r="BZ153" i="32" s="1"/>
  <c r="AU89" i="32"/>
  <c r="AT153" i="32"/>
  <c r="DD88" i="32"/>
  <c r="CA88" i="32"/>
  <c r="CO88" i="32" s="1"/>
  <c r="BZ88" i="32"/>
  <c r="BZ152" i="32" s="1"/>
  <c r="AU88" i="32"/>
  <c r="AT152" i="32"/>
  <c r="DL87" i="32"/>
  <c r="DD87" i="32"/>
  <c r="EB87" i="32" s="1"/>
  <c r="CX87" i="32"/>
  <c r="CC87" i="32"/>
  <c r="CA87" i="32"/>
  <c r="BL87" i="32"/>
  <c r="BH87" i="32"/>
  <c r="AZ87" i="32"/>
  <c r="AU87" i="32"/>
  <c r="CS87" i="32" s="1"/>
  <c r="AT151" i="32"/>
  <c r="AT85" i="32"/>
  <c r="DC84" i="32"/>
  <c r="DC117" i="32" s="1"/>
  <c r="C83" i="32"/>
  <c r="AT82" i="32"/>
  <c r="AT81" i="32"/>
  <c r="BZ80" i="32"/>
  <c r="BZ114" i="32" s="1"/>
  <c r="AT80" i="32"/>
  <c r="BZ79" i="32"/>
  <c r="BZ113" i="32" s="1"/>
  <c r="AT79" i="32"/>
  <c r="AT78" i="32"/>
  <c r="AT77" i="32"/>
  <c r="AT76" i="32"/>
  <c r="BZ75" i="32"/>
  <c r="BZ109" i="32" s="1"/>
  <c r="AT75" i="32"/>
  <c r="DC130" i="32"/>
  <c r="BZ96" i="32"/>
  <c r="BZ159" i="32" s="1"/>
  <c r="AT73" i="32"/>
  <c r="BZ94" i="32"/>
  <c r="BZ157" i="32" s="1"/>
  <c r="AT70" i="32"/>
  <c r="AT69" i="32"/>
  <c r="DC79" i="32"/>
  <c r="DC113" i="32" s="1"/>
  <c r="AT68" i="32"/>
  <c r="DC78" i="32"/>
  <c r="DC112" i="32" s="1"/>
  <c r="BZ124" i="32"/>
  <c r="AT67" i="32"/>
  <c r="DC100" i="32"/>
  <c r="AT66" i="32"/>
  <c r="DC122" i="32"/>
  <c r="AT65" i="32"/>
  <c r="DC121" i="32"/>
  <c r="BZ87" i="32"/>
  <c r="BZ151" i="32" s="1"/>
  <c r="AT64" i="32"/>
  <c r="DD62" i="32"/>
  <c r="CA62" i="32"/>
  <c r="AU62" i="32"/>
  <c r="C62" i="32"/>
  <c r="D62" i="32" s="1"/>
  <c r="D61" i="32"/>
  <c r="C61" i="32"/>
  <c r="C60" i="32"/>
  <c r="D60" i="32" s="1"/>
  <c r="C59" i="32"/>
  <c r="D59" i="32" s="1"/>
  <c r="C58" i="32"/>
  <c r="D58" i="32" s="1"/>
  <c r="C57" i="32"/>
  <c r="D57" i="32" s="1"/>
  <c r="C56" i="32"/>
  <c r="D56" i="32" s="1"/>
  <c r="D55" i="32"/>
  <c r="C55" i="32"/>
  <c r="C54" i="32"/>
  <c r="D54" i="32" s="1"/>
  <c r="C53" i="32"/>
  <c r="D53" i="32" s="1"/>
  <c r="C52" i="32"/>
  <c r="D52" i="32" s="1"/>
  <c r="C51" i="32"/>
  <c r="D51" i="32" s="1"/>
  <c r="C50" i="32"/>
  <c r="D50" i="32" s="1"/>
  <c r="D49" i="32"/>
  <c r="C49" i="32"/>
  <c r="D47" i="32"/>
  <c r="C47" i="32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D31" i="32"/>
  <c r="C31" i="32"/>
  <c r="D29" i="32"/>
  <c r="C29" i="32"/>
  <c r="C28" i="32"/>
  <c r="D28" i="32" s="1"/>
  <c r="C27" i="32"/>
  <c r="D27" i="32" s="1"/>
  <c r="C26" i="32"/>
  <c r="D26" i="32" s="1"/>
  <c r="C25" i="32"/>
  <c r="D25" i="32" s="1"/>
  <c r="C24" i="32"/>
  <c r="C23" i="32"/>
  <c r="C21" i="32"/>
  <c r="D21" i="32" s="1"/>
  <c r="C20" i="32"/>
  <c r="D20" i="32" s="1"/>
  <c r="C19" i="32"/>
  <c r="D19" i="32" s="1"/>
  <c r="C18" i="32"/>
  <c r="D18" i="32" s="1"/>
  <c r="D17" i="32"/>
  <c r="C17" i="32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D5" i="32"/>
  <c r="C5" i="32"/>
  <c r="C4" i="32"/>
  <c r="D4" i="32" s="1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T246" i="31"/>
  <c r="B166" i="31" s="1"/>
  <c r="W273" i="31"/>
  <c r="AM217" i="32" s="1"/>
  <c r="T240" i="31"/>
  <c r="T273" i="31" s="1"/>
  <c r="W272" i="31"/>
  <c r="AM216" i="32" s="1"/>
  <c r="W271" i="31"/>
  <c r="C239" i="32"/>
  <c r="B167" i="31"/>
  <c r="J153" i="31"/>
  <c r="C226" i="32" s="1"/>
  <c r="B152" i="31"/>
  <c r="J151" i="31"/>
  <c r="C224" i="32" s="1"/>
  <c r="J150" i="31"/>
  <c r="C223" i="32" s="1"/>
  <c r="AI144" i="31"/>
  <c r="AI141" i="31"/>
  <c r="AI138" i="31"/>
  <c r="X136" i="31"/>
  <c r="Y136" i="31" s="1"/>
  <c r="T136" i="31"/>
  <c r="AI135" i="31"/>
  <c r="X135" i="31"/>
  <c r="Y135" i="31" s="1"/>
  <c r="T135" i="31"/>
  <c r="M112" i="31"/>
  <c r="L112" i="31"/>
  <c r="Z133" i="31"/>
  <c r="AA133" i="31" s="1"/>
  <c r="AI132" i="31"/>
  <c r="Z132" i="31"/>
  <c r="AA132" i="31" s="1"/>
  <c r="AI129" i="31"/>
  <c r="J128" i="31"/>
  <c r="Z135" i="31"/>
  <c r="AA135" i="31" s="1"/>
  <c r="X132" i="31"/>
  <c r="Y132" i="31" s="1"/>
  <c r="AI126" i="31"/>
  <c r="J124" i="31"/>
  <c r="X107" i="31"/>
  <c r="BQ107" i="31" s="1"/>
  <c r="X106" i="31"/>
  <c r="X105" i="31"/>
  <c r="BU105" i="31" s="1"/>
  <c r="X103" i="31"/>
  <c r="AX103" i="31" s="1"/>
  <c r="X100" i="31"/>
  <c r="BM100" i="31" s="1"/>
  <c r="X99" i="31"/>
  <c r="X98" i="31"/>
  <c r="BL98" i="31" s="1"/>
  <c r="X97" i="31"/>
  <c r="BS97" i="31" s="1"/>
  <c r="X96" i="31"/>
  <c r="AZ96" i="31" s="1"/>
  <c r="X93" i="31"/>
  <c r="X91" i="31"/>
  <c r="X90" i="31"/>
  <c r="X89" i="31"/>
  <c r="BP89" i="31" s="1"/>
  <c r="EB78" i="31"/>
  <c r="EA78" i="31"/>
  <c r="DZ78" i="31"/>
  <c r="DY78" i="31"/>
  <c r="DX78" i="31"/>
  <c r="DW78" i="31"/>
  <c r="DV78" i="31"/>
  <c r="DU78" i="31"/>
  <c r="DT78" i="31"/>
  <c r="DS78" i="31"/>
  <c r="DR78" i="31"/>
  <c r="DQ78" i="31"/>
  <c r="DP78" i="31"/>
  <c r="DO78" i="31"/>
  <c r="DN78" i="31"/>
  <c r="DM78" i="31"/>
  <c r="DL67" i="31"/>
  <c r="DL78" i="31" s="1"/>
  <c r="DH78" i="31"/>
  <c r="DG78" i="31"/>
  <c r="DF78" i="31"/>
  <c r="DE78" i="31"/>
  <c r="CY78" i="31"/>
  <c r="CX78" i="31"/>
  <c r="CW78" i="31"/>
  <c r="CV78" i="31"/>
  <c r="CU78" i="31"/>
  <c r="CT78" i="31"/>
  <c r="CS78" i="31"/>
  <c r="CR78" i="31"/>
  <c r="CQ78" i="31"/>
  <c r="CP78" i="31"/>
  <c r="CO78" i="31"/>
  <c r="CN78" i="31"/>
  <c r="CM78" i="31"/>
  <c r="CL78" i="31"/>
  <c r="CK78" i="31"/>
  <c r="CJ67" i="31"/>
  <c r="CJ78" i="31" s="1"/>
  <c r="CF78" i="31"/>
  <c r="CE78" i="31"/>
  <c r="CD78" i="31"/>
  <c r="CC78" i="31"/>
  <c r="CB78" i="31"/>
  <c r="BR78" i="31"/>
  <c r="BQ78" i="31"/>
  <c r="BP78" i="31"/>
  <c r="BO78" i="31"/>
  <c r="BN78" i="31"/>
  <c r="BM78" i="31"/>
  <c r="BL78" i="31"/>
  <c r="BJ78" i="31"/>
  <c r="BI78" i="31"/>
  <c r="BH67" i="31"/>
  <c r="BH78" i="31" s="1"/>
  <c r="BE78" i="31"/>
  <c r="BD78" i="31"/>
  <c r="BB78" i="31"/>
  <c r="BA78" i="31"/>
  <c r="AZ78" i="31"/>
  <c r="AY78" i="31"/>
  <c r="AX78" i="31"/>
  <c r="AW78" i="31"/>
  <c r="AV78" i="31"/>
  <c r="EB77" i="31"/>
  <c r="EA77" i="31"/>
  <c r="DY77" i="31"/>
  <c r="DX77" i="31"/>
  <c r="DW77" i="31"/>
  <c r="DU77" i="31"/>
  <c r="DT77" i="31"/>
  <c r="DS77" i="31"/>
  <c r="DQ77" i="31"/>
  <c r="DP77" i="31"/>
  <c r="DO77" i="31"/>
  <c r="DM77" i="31"/>
  <c r="DL66" i="31"/>
  <c r="DL77" i="31" s="1"/>
  <c r="DH77" i="31"/>
  <c r="DG77" i="31"/>
  <c r="DF77" i="31"/>
  <c r="DE77" i="31"/>
  <c r="CY77" i="31"/>
  <c r="CX77" i="31"/>
  <c r="CV77" i="31"/>
  <c r="CU77" i="31"/>
  <c r="CT77" i="31"/>
  <c r="CS77" i="31"/>
  <c r="CR77" i="31"/>
  <c r="CQ77" i="31"/>
  <c r="CP77" i="31"/>
  <c r="CN77" i="31"/>
  <c r="CM77" i="31"/>
  <c r="CL77" i="31"/>
  <c r="CK77" i="31"/>
  <c r="CJ66" i="31"/>
  <c r="CJ77" i="31" s="1"/>
  <c r="CF77" i="31"/>
  <c r="CE77" i="31"/>
  <c r="CD77" i="31"/>
  <c r="CC77" i="31"/>
  <c r="CB77" i="31"/>
  <c r="BS77" i="31"/>
  <c r="BR77" i="31"/>
  <c r="BQ77" i="31"/>
  <c r="BP77" i="31"/>
  <c r="BO77" i="31"/>
  <c r="BN77" i="31"/>
  <c r="BM77" i="31"/>
  <c r="BK77" i="31"/>
  <c r="BJ77" i="31"/>
  <c r="BI77" i="31"/>
  <c r="BH66" i="31"/>
  <c r="BH77" i="31" s="1"/>
  <c r="BE77" i="31"/>
  <c r="BC77" i="31"/>
  <c r="BB77" i="31"/>
  <c r="BA77" i="31"/>
  <c r="AZ77" i="31"/>
  <c r="AY77" i="31"/>
  <c r="AX77" i="31"/>
  <c r="AW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X76" i="31"/>
  <c r="CW76" i="31"/>
  <c r="CV76" i="31"/>
  <c r="CU76" i="31"/>
  <c r="CT76" i="31"/>
  <c r="CS76" i="31"/>
  <c r="CR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C76" i="31"/>
  <c r="CB76" i="31"/>
  <c r="BS76" i="31"/>
  <c r="BQ76" i="31"/>
  <c r="BP76" i="31"/>
  <c r="BO76" i="31"/>
  <c r="BN76" i="31"/>
  <c r="BM76" i="31"/>
  <c r="BL76" i="31"/>
  <c r="BK76" i="31"/>
  <c r="BI76" i="31"/>
  <c r="BH65" i="31"/>
  <c r="BH76" i="31" s="1"/>
  <c r="BE76" i="31"/>
  <c r="BD76" i="31"/>
  <c r="BC76" i="31"/>
  <c r="BB76" i="31"/>
  <c r="BA76" i="31"/>
  <c r="AZ76" i="31"/>
  <c r="AY76" i="31"/>
  <c r="AX76" i="31"/>
  <c r="AW76" i="31"/>
  <c r="AV76" i="31"/>
  <c r="EB75" i="31"/>
  <c r="EA75" i="31"/>
  <c r="DY75" i="31"/>
  <c r="DX75" i="31"/>
  <c r="DW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X75" i="31"/>
  <c r="CW75" i="31"/>
  <c r="CV75" i="31"/>
  <c r="CU75" i="31"/>
  <c r="CT75" i="31"/>
  <c r="CS75" i="31"/>
  <c r="CR75" i="31"/>
  <c r="CQ75" i="31"/>
  <c r="CP75" i="31"/>
  <c r="CO75" i="31"/>
  <c r="CN75" i="31"/>
  <c r="CM75" i="31"/>
  <c r="CL75" i="31"/>
  <c r="CK75" i="31"/>
  <c r="CJ64" i="31"/>
  <c r="CJ75" i="31" s="1"/>
  <c r="CF75" i="31"/>
  <c r="CE75" i="31"/>
  <c r="CD75" i="31"/>
  <c r="CC75" i="31"/>
  <c r="CB75" i="31"/>
  <c r="BS75" i="31"/>
  <c r="BR75" i="31"/>
  <c r="BQ75" i="31"/>
  <c r="BP75" i="31"/>
  <c r="BO75" i="31"/>
  <c r="BN75" i="31"/>
  <c r="BM75" i="31"/>
  <c r="BL75" i="31"/>
  <c r="BK75" i="31"/>
  <c r="BJ75" i="31"/>
  <c r="BI75" i="31"/>
  <c r="BH64" i="31"/>
  <c r="BH75" i="31" s="1"/>
  <c r="BE75" i="31"/>
  <c r="BC75" i="31"/>
  <c r="BA75" i="31"/>
  <c r="AZ75" i="31"/>
  <c r="AY75" i="31"/>
  <c r="AX75" i="31"/>
  <c r="AW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T74" i="31"/>
  <c r="CS74" i="31"/>
  <c r="CR74" i="31"/>
  <c r="CQ74" i="31"/>
  <c r="CO74" i="31"/>
  <c r="CN74" i="31"/>
  <c r="CM74" i="31"/>
  <c r="CL74" i="31"/>
  <c r="CK74" i="31"/>
  <c r="CJ63" i="31"/>
  <c r="CJ74" i="31" s="1"/>
  <c r="CF74" i="31"/>
  <c r="CE74" i="31"/>
  <c r="CC74" i="31"/>
  <c r="CB74" i="31"/>
  <c r="BS74" i="31"/>
  <c r="BP74" i="31"/>
  <c r="BM74" i="31"/>
  <c r="BL74" i="31"/>
  <c r="BK74" i="31"/>
  <c r="BH63" i="31"/>
  <c r="BH74" i="31" s="1"/>
  <c r="BE74" i="31"/>
  <c r="BC74" i="31"/>
  <c r="AZ74" i="31"/>
  <c r="AY74" i="31"/>
  <c r="AW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Q73" i="31"/>
  <c r="BP73" i="31"/>
  <c r="BM73" i="31"/>
  <c r="BL73" i="31"/>
  <c r="BK73" i="31"/>
  <c r="BI73" i="31"/>
  <c r="BH62" i="31"/>
  <c r="BH73" i="31" s="1"/>
  <c r="BE73" i="31"/>
  <c r="BD73" i="31"/>
  <c r="BC73" i="31"/>
  <c r="AW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C72" i="31"/>
  <c r="CB72" i="31"/>
  <c r="BS72" i="31"/>
  <c r="BQ72" i="31"/>
  <c r="BP72" i="31"/>
  <c r="BM72" i="31"/>
  <c r="BL72" i="31"/>
  <c r="BK72" i="31"/>
  <c r="BI72" i="31"/>
  <c r="BH61" i="31"/>
  <c r="BH72" i="31" s="1"/>
  <c r="BE72" i="31"/>
  <c r="BC72" i="31"/>
  <c r="BA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X71" i="31"/>
  <c r="CW71" i="31"/>
  <c r="CV71" i="31"/>
  <c r="CU71" i="31"/>
  <c r="CT71" i="31"/>
  <c r="CS71" i="31"/>
  <c r="CR71" i="31"/>
  <c r="CQ71" i="31"/>
  <c r="CP71" i="31"/>
  <c r="CO71" i="31"/>
  <c r="CN71" i="31"/>
  <c r="CM71" i="31"/>
  <c r="CL71" i="31"/>
  <c r="CK71" i="31"/>
  <c r="CJ60" i="31"/>
  <c r="CJ71" i="31" s="1"/>
  <c r="CF71" i="31"/>
  <c r="CE71" i="31"/>
  <c r="CD71" i="31"/>
  <c r="CC71" i="31"/>
  <c r="CB71" i="31"/>
  <c r="BS71" i="31"/>
  <c r="BQ71" i="31"/>
  <c r="BP71" i="31"/>
  <c r="BM71" i="31"/>
  <c r="BL71" i="31"/>
  <c r="BK71" i="31"/>
  <c r="BI71" i="31"/>
  <c r="BE71" i="31"/>
  <c r="BC71" i="31"/>
  <c r="BB71" i="31"/>
  <c r="BA71" i="31"/>
  <c r="AZ71" i="31"/>
  <c r="AW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C70" i="31"/>
  <c r="CB70" i="31"/>
  <c r="BS70" i="31"/>
  <c r="BR70" i="31"/>
  <c r="BQ70" i="31"/>
  <c r="BP70" i="31"/>
  <c r="BM70" i="31"/>
  <c r="BL70" i="31"/>
  <c r="BK70" i="31"/>
  <c r="BI70" i="31"/>
  <c r="BH59" i="31"/>
  <c r="BH70" i="31" s="1"/>
  <c r="BE70" i="31"/>
  <c r="BC70" i="31"/>
  <c r="BA70" i="31"/>
  <c r="AY70" i="31"/>
  <c r="AW70" i="31"/>
  <c r="AV70" i="31"/>
  <c r="V41" i="31"/>
  <c r="V40" i="31"/>
  <c r="V39" i="31"/>
  <c r="V38" i="31"/>
  <c r="Z35" i="31"/>
  <c r="V32" i="31"/>
  <c r="V31" i="31"/>
  <c r="V30" i="31"/>
  <c r="AG35" i="31" s="1"/>
  <c r="AI35" i="31" s="1"/>
  <c r="V29" i="31"/>
  <c r="AG34" i="31" s="1"/>
  <c r="AH34" i="31" s="1"/>
  <c r="AI34" i="31" s="1"/>
  <c r="T25" i="31"/>
  <c r="W10" i="31"/>
  <c r="V10" i="31"/>
  <c r="U10" i="31"/>
  <c r="T10" i="31"/>
  <c r="T5" i="31"/>
  <c r="D5" i="31"/>
  <c r="D6" i="31" s="1"/>
  <c r="C5" i="31"/>
  <c r="G4" i="31"/>
  <c r="H4" i="31"/>
  <c r="G6" i="31"/>
  <c r="F4" i="31"/>
  <c r="B111" i="30"/>
  <c r="B105" i="30"/>
  <c r="D105" i="30" s="1"/>
  <c r="B104" i="30"/>
  <c r="D104" i="30" s="1"/>
  <c r="C280" i="32"/>
  <c r="D280" i="32" s="1"/>
  <c r="B87" i="30"/>
  <c r="B86" i="30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X94" i="30"/>
  <c r="CW94" i="30"/>
  <c r="CV94" i="30"/>
  <c r="CU94" i="30"/>
  <c r="CT94" i="30"/>
  <c r="CS94" i="30"/>
  <c r="CR94" i="30"/>
  <c r="CR99" i="30" s="1"/>
  <c r="CQ94" i="30"/>
  <c r="CP94" i="30"/>
  <c r="CO94" i="30"/>
  <c r="CN94" i="30"/>
  <c r="CM94" i="30"/>
  <c r="CL94" i="30"/>
  <c r="CK94" i="30"/>
  <c r="CJ94" i="30"/>
  <c r="CJ99" i="30" s="1"/>
  <c r="CI94" i="30"/>
  <c r="CH94" i="30"/>
  <c r="CG94" i="30"/>
  <c r="CF94" i="30"/>
  <c r="CE94" i="30"/>
  <c r="CD94" i="30"/>
  <c r="CC94" i="30"/>
  <c r="CB94" i="30"/>
  <c r="CB99" i="30" s="1"/>
  <c r="BS94" i="30"/>
  <c r="BR94" i="30"/>
  <c r="BQ94" i="30"/>
  <c r="BO94" i="30"/>
  <c r="BN94" i="30"/>
  <c r="BM94" i="30"/>
  <c r="BL94" i="30"/>
  <c r="BK94" i="30"/>
  <c r="BJ94" i="30"/>
  <c r="BI94" i="30"/>
  <c r="BG94" i="30"/>
  <c r="BE94" i="30"/>
  <c r="BD94" i="30"/>
  <c r="BC94" i="30"/>
  <c r="BB94" i="30"/>
  <c r="BA94" i="30"/>
  <c r="AY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O92" i="30"/>
  <c r="BL92" i="30"/>
  <c r="BK92" i="30"/>
  <c r="BJ92" i="30"/>
  <c r="BI92" i="30"/>
  <c r="BG92" i="30"/>
  <c r="BF92" i="30"/>
  <c r="BD92" i="30"/>
  <c r="BC92" i="30"/>
  <c r="BB92" i="30"/>
  <c r="BA92" i="30"/>
  <c r="AZ92" i="30"/>
  <c r="AY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S91" i="30"/>
  <c r="BR91" i="30"/>
  <c r="BQ91" i="30"/>
  <c r="BP91" i="30"/>
  <c r="BO91" i="30"/>
  <c r="BN91" i="30"/>
  <c r="BM91" i="30"/>
  <c r="BL91" i="30"/>
  <c r="BK91" i="30"/>
  <c r="BJ91" i="30"/>
  <c r="BG91" i="30"/>
  <c r="BF91" i="30"/>
  <c r="BE91" i="30"/>
  <c r="BD91" i="30"/>
  <c r="BC91" i="30"/>
  <c r="BB91" i="30"/>
  <c r="AY91" i="30"/>
  <c r="AX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S90" i="30"/>
  <c r="BR90" i="30"/>
  <c r="BQ90" i="30"/>
  <c r="BP90" i="30"/>
  <c r="BO90" i="30"/>
  <c r="BN90" i="30"/>
  <c r="BM90" i="30"/>
  <c r="BL90" i="30"/>
  <c r="BK90" i="30"/>
  <c r="BJ90" i="30"/>
  <c r="BI90" i="30"/>
  <c r="BH90" i="30"/>
  <c r="BG90" i="30"/>
  <c r="BF90" i="30"/>
  <c r="BE90" i="30"/>
  <c r="BC90" i="30"/>
  <c r="BB90" i="30"/>
  <c r="BA90" i="30"/>
  <c r="AZ90" i="30"/>
  <c r="AY90" i="30"/>
  <c r="AX90" i="30"/>
  <c r="AW90" i="30"/>
  <c r="AV90" i="30"/>
  <c r="DD35" i="30"/>
  <c r="EB35" i="30" s="1"/>
  <c r="CW35" i="30"/>
  <c r="CS35" i="30"/>
  <c r="CO35" i="30"/>
  <c r="CK35" i="30"/>
  <c r="CC35" i="30"/>
  <c r="CA35" i="30"/>
  <c r="CV35" i="30" s="1"/>
  <c r="AU35" i="30"/>
  <c r="BS35" i="30" s="1"/>
  <c r="AT98" i="30"/>
  <c r="DZ34" i="30"/>
  <c r="DV34" i="30"/>
  <c r="DF34" i="30"/>
  <c r="DD34" i="30"/>
  <c r="DY34" i="30" s="1"/>
  <c r="CA34" i="30"/>
  <c r="CY34" i="30" s="1"/>
  <c r="BQ34" i="30"/>
  <c r="BM34" i="30"/>
  <c r="AW34" i="30"/>
  <c r="AU34" i="30"/>
  <c r="BP34" i="30" s="1"/>
  <c r="AT97" i="30"/>
  <c r="DD33" i="30"/>
  <c r="EB33" i="30" s="1"/>
  <c r="CG33" i="30"/>
  <c r="CA33" i="30"/>
  <c r="CV33" i="30" s="1"/>
  <c r="AU33" i="30"/>
  <c r="BS33" i="30" s="1"/>
  <c r="AT96" i="30"/>
  <c r="DU32" i="30"/>
  <c r="DQ32" i="30"/>
  <c r="DO32" i="30"/>
  <c r="DM32" i="30"/>
  <c r="DE32" i="30"/>
  <c r="DD32" i="30"/>
  <c r="EB32" i="30" s="1"/>
  <c r="CX32" i="30"/>
  <c r="CV32" i="30"/>
  <c r="CT32" i="30"/>
  <c r="CL32" i="30"/>
  <c r="CJ32" i="30"/>
  <c r="CH32" i="30"/>
  <c r="CG32" i="30"/>
  <c r="CB32" i="30"/>
  <c r="CA32" i="30"/>
  <c r="CW32" i="30" s="1"/>
  <c r="BZ32" i="30"/>
  <c r="BR32" i="30"/>
  <c r="BP32" i="30"/>
  <c r="BL32" i="30"/>
  <c r="BH32" i="30"/>
  <c r="BF32" i="30"/>
  <c r="BD32" i="30"/>
  <c r="BB32" i="30"/>
  <c r="AZ32" i="30"/>
  <c r="AV32" i="30"/>
  <c r="AU32" i="30"/>
  <c r="BS32" i="30" s="1"/>
  <c r="AT21" i="30"/>
  <c r="DD31" i="30"/>
  <c r="DY31" i="30" s="1"/>
  <c r="CA31" i="30"/>
  <c r="CY31" i="30" s="1"/>
  <c r="AU31" i="30"/>
  <c r="BP31" i="30" s="1"/>
  <c r="AT95" i="30"/>
  <c r="EA30" i="30"/>
  <c r="DY30" i="30"/>
  <c r="DU30" i="30"/>
  <c r="DQ30" i="30"/>
  <c r="DO30" i="30"/>
  <c r="DM30" i="30"/>
  <c r="DK30" i="30"/>
  <c r="DI30" i="30"/>
  <c r="DE30" i="30"/>
  <c r="DD30" i="30"/>
  <c r="DZ30" i="30" s="1"/>
  <c r="CX30" i="30"/>
  <c r="CT30" i="30"/>
  <c r="CR30" i="30"/>
  <c r="CH30" i="30"/>
  <c r="CD30" i="30"/>
  <c r="CB30" i="30"/>
  <c r="CA30" i="30"/>
  <c r="CY30" i="30" s="1"/>
  <c r="BZ30" i="30"/>
  <c r="BZ94" i="30" s="1"/>
  <c r="BH30" i="30"/>
  <c r="AZ30" i="30"/>
  <c r="AX30" i="30"/>
  <c r="AU30" i="30"/>
  <c r="BQ30" i="30" s="1"/>
  <c r="AT94" i="30"/>
  <c r="DW29" i="30"/>
  <c r="DG29" i="30"/>
  <c r="DD29" i="30"/>
  <c r="EB29" i="30" s="1"/>
  <c r="DC29" i="30"/>
  <c r="DC93" i="30" s="1"/>
  <c r="CA29" i="30"/>
  <c r="CW29" i="30" s="1"/>
  <c r="BH29" i="30"/>
  <c r="AZ29" i="30"/>
  <c r="AU29" i="30"/>
  <c r="BS29" i="30" s="1"/>
  <c r="AT93" i="30"/>
  <c r="DW28" i="30"/>
  <c r="DG28" i="30"/>
  <c r="DD28" i="30"/>
  <c r="DZ28" i="30" s="1"/>
  <c r="DC28" i="30"/>
  <c r="DC92" i="30" s="1"/>
  <c r="CA28" i="30"/>
  <c r="CY28" i="30" s="1"/>
  <c r="AU28" i="30"/>
  <c r="BQ28" i="30" s="1"/>
  <c r="AT92" i="30"/>
  <c r="DQ27" i="30"/>
  <c r="DD27" i="30"/>
  <c r="EB27" i="30" s="1"/>
  <c r="DC27" i="30"/>
  <c r="DC91" i="30" s="1"/>
  <c r="CX27" i="30"/>
  <c r="CV27" i="30"/>
  <c r="CT27" i="30"/>
  <c r="CL27" i="30"/>
  <c r="CJ27" i="30"/>
  <c r="CH27" i="30"/>
  <c r="CF27" i="30"/>
  <c r="CD27" i="30"/>
  <c r="CA27" i="30"/>
  <c r="CW27" i="30" s="1"/>
  <c r="BF27" i="30"/>
  <c r="AU27" i="30"/>
  <c r="BS27" i="30" s="1"/>
  <c r="AT91" i="30"/>
  <c r="DD26" i="30"/>
  <c r="DZ26" i="30" s="1"/>
  <c r="DC26" i="30"/>
  <c r="DC90" i="30" s="1"/>
  <c r="CX26" i="30"/>
  <c r="CV26" i="30"/>
  <c r="CT26" i="30"/>
  <c r="CL26" i="30"/>
  <c r="CJ26" i="30"/>
  <c r="CH26" i="30"/>
  <c r="CF26" i="30"/>
  <c r="CD26" i="30"/>
  <c r="CA26" i="30"/>
  <c r="CY26" i="30" s="1"/>
  <c r="AU26" i="30"/>
  <c r="BQ26" i="30" s="1"/>
  <c r="AT90" i="30"/>
  <c r="AT24" i="30"/>
  <c r="EB23" i="30"/>
  <c r="EB68" i="30" s="1"/>
  <c r="DZ23" i="30"/>
  <c r="DZ79" i="30" s="1"/>
  <c r="DX23" i="30"/>
  <c r="DX68" i="30" s="1"/>
  <c r="DV23" i="30"/>
  <c r="DV79" i="30" s="1"/>
  <c r="DT23" i="30"/>
  <c r="DT68" i="30" s="1"/>
  <c r="DR23" i="30"/>
  <c r="DR79" i="30" s="1"/>
  <c r="DP23" i="30"/>
  <c r="DP79" i="30" s="1"/>
  <c r="DN23" i="30"/>
  <c r="DN79" i="30" s="1"/>
  <c r="DL23" i="30"/>
  <c r="DL68" i="30" s="1"/>
  <c r="DJ23" i="30"/>
  <c r="DJ79" i="30" s="1"/>
  <c r="DH23" i="30"/>
  <c r="DH68" i="30" s="1"/>
  <c r="DF23" i="30"/>
  <c r="DF79" i="30" s="1"/>
  <c r="DC23" i="30"/>
  <c r="DC56" i="30" s="1"/>
  <c r="CX23" i="30"/>
  <c r="CX79" i="30" s="1"/>
  <c r="CV23" i="30"/>
  <c r="CV79" i="30" s="1"/>
  <c r="CT23" i="30"/>
  <c r="CT79" i="30" s="1"/>
  <c r="CR23" i="30"/>
  <c r="CR68" i="30" s="1"/>
  <c r="CP23" i="30"/>
  <c r="CP79" i="30" s="1"/>
  <c r="CN23" i="30"/>
  <c r="CN68" i="30" s="1"/>
  <c r="CL23" i="30"/>
  <c r="CL79" i="30" s="1"/>
  <c r="CJ23" i="30"/>
  <c r="CJ68" i="30" s="1"/>
  <c r="CH23" i="30"/>
  <c r="CH79" i="30" s="1"/>
  <c r="CF23" i="30"/>
  <c r="CF79" i="30" s="1"/>
  <c r="CD23" i="30"/>
  <c r="CD79" i="30" s="1"/>
  <c r="CB23" i="30"/>
  <c r="CB68" i="30" s="1"/>
  <c r="BS23" i="30"/>
  <c r="BS79" i="30" s="1"/>
  <c r="BQ23" i="30"/>
  <c r="BQ68" i="30" s="1"/>
  <c r="BO23" i="30"/>
  <c r="BO79" i="30" s="1"/>
  <c r="BM23" i="30"/>
  <c r="BM68" i="30" s="1"/>
  <c r="BK23" i="30"/>
  <c r="BK79" i="30" s="1"/>
  <c r="BI23" i="30"/>
  <c r="BI79" i="30" s="1"/>
  <c r="BG23" i="30"/>
  <c r="BG79" i="30" s="1"/>
  <c r="BE23" i="30"/>
  <c r="BE68" i="30" s="1"/>
  <c r="BC23" i="30"/>
  <c r="BC79" i="30" s="1"/>
  <c r="BA23" i="30"/>
  <c r="BA68" i="30" s="1"/>
  <c r="AY23" i="30"/>
  <c r="AY79" i="30" s="1"/>
  <c r="AW23" i="30"/>
  <c r="AW68" i="30" s="1"/>
  <c r="AT23" i="30"/>
  <c r="EA22" i="30"/>
  <c r="EA78" i="30" s="1"/>
  <c r="DY22" i="30"/>
  <c r="DY78" i="30" s="1"/>
  <c r="DW22" i="30"/>
  <c r="DW67" i="30" s="1"/>
  <c r="DU22" i="30"/>
  <c r="DU78" i="30" s="1"/>
  <c r="DS22" i="30"/>
  <c r="DS67" i="30" s="1"/>
  <c r="DQ22" i="30"/>
  <c r="DQ78" i="30" s="1"/>
  <c r="DO22" i="30"/>
  <c r="DO67" i="30" s="1"/>
  <c r="DM22" i="30"/>
  <c r="DM78" i="30" s="1"/>
  <c r="DK22" i="30"/>
  <c r="DK78" i="30" s="1"/>
  <c r="DI22" i="30"/>
  <c r="DI78" i="30" s="1"/>
  <c r="DG22" i="30"/>
  <c r="DG67" i="30" s="1"/>
  <c r="DE22" i="30"/>
  <c r="DE78" i="30" s="1"/>
  <c r="CY22" i="30"/>
  <c r="CY67" i="30" s="1"/>
  <c r="CW22" i="30"/>
  <c r="CW78" i="30" s="1"/>
  <c r="CU22" i="30"/>
  <c r="CU67" i="30" s="1"/>
  <c r="CS22" i="30"/>
  <c r="CS78" i="30" s="1"/>
  <c r="CQ22" i="30"/>
  <c r="CQ78" i="30" s="1"/>
  <c r="CO22" i="30"/>
  <c r="CO78" i="30" s="1"/>
  <c r="CM22" i="30"/>
  <c r="CM67" i="30" s="1"/>
  <c r="CK22" i="30"/>
  <c r="CK78" i="30" s="1"/>
  <c r="CI22" i="30"/>
  <c r="CI67" i="30" s="1"/>
  <c r="CG22" i="30"/>
  <c r="CG78" i="30" s="1"/>
  <c r="CE22" i="30"/>
  <c r="CE67" i="30" s="1"/>
  <c r="CC22" i="30"/>
  <c r="CC78" i="30" s="1"/>
  <c r="BZ22" i="30"/>
  <c r="BZ55" i="30" s="1"/>
  <c r="BR22" i="30"/>
  <c r="BR78" i="30" s="1"/>
  <c r="BP22" i="30"/>
  <c r="BP67" i="30" s="1"/>
  <c r="BN22" i="30"/>
  <c r="BN78" i="30" s="1"/>
  <c r="BL22" i="30"/>
  <c r="BL67" i="30" s="1"/>
  <c r="BJ22" i="30"/>
  <c r="BJ78" i="30" s="1"/>
  <c r="BH22" i="30"/>
  <c r="BH67" i="30" s="1"/>
  <c r="BF22" i="30"/>
  <c r="BF78" i="30" s="1"/>
  <c r="BD22" i="30"/>
  <c r="BD78" i="30" s="1"/>
  <c r="BB22" i="30"/>
  <c r="BB78" i="30" s="1"/>
  <c r="AZ22" i="30"/>
  <c r="AZ67" i="30" s="1"/>
  <c r="AX22" i="30"/>
  <c r="AX78" i="30" s="1"/>
  <c r="AV22" i="30"/>
  <c r="AV67" i="30" s="1"/>
  <c r="AT22" i="30"/>
  <c r="E22" i="30"/>
  <c r="EA21" i="30"/>
  <c r="EA77" i="30" s="1"/>
  <c r="DY21" i="30"/>
  <c r="DY77" i="30" s="1"/>
  <c r="DW21" i="30"/>
  <c r="DW77" i="30" s="1"/>
  <c r="DU21" i="30"/>
  <c r="DU77" i="30" s="1"/>
  <c r="DS21" i="30"/>
  <c r="DS77" i="30" s="1"/>
  <c r="DQ21" i="30"/>
  <c r="DQ77" i="30" s="1"/>
  <c r="DO21" i="30"/>
  <c r="DO77" i="30" s="1"/>
  <c r="DM21" i="30"/>
  <c r="DM77" i="30" s="1"/>
  <c r="DK21" i="30"/>
  <c r="DK77" i="30" s="1"/>
  <c r="DI21" i="30"/>
  <c r="DI77" i="30" s="1"/>
  <c r="DG21" i="30"/>
  <c r="DG77" i="30" s="1"/>
  <c r="DE21" i="30"/>
  <c r="DE77" i="30" s="1"/>
  <c r="CY21" i="30"/>
  <c r="CY77" i="30" s="1"/>
  <c r="CW21" i="30"/>
  <c r="CW77" i="30" s="1"/>
  <c r="CU21" i="30"/>
  <c r="CU77" i="30" s="1"/>
  <c r="CS21" i="30"/>
  <c r="CS77" i="30" s="1"/>
  <c r="CQ21" i="30"/>
  <c r="CQ77" i="30" s="1"/>
  <c r="CO21" i="30"/>
  <c r="CO77" i="30" s="1"/>
  <c r="CM21" i="30"/>
  <c r="CM77" i="30" s="1"/>
  <c r="CK21" i="30"/>
  <c r="CK77" i="30" s="1"/>
  <c r="CI21" i="30"/>
  <c r="CI77" i="30" s="1"/>
  <c r="CG21" i="30"/>
  <c r="CG77" i="30" s="1"/>
  <c r="CE21" i="30"/>
  <c r="CE77" i="30" s="1"/>
  <c r="CC21" i="30"/>
  <c r="CC77" i="30" s="1"/>
  <c r="BZ21" i="30"/>
  <c r="BZ54" i="30" s="1"/>
  <c r="BR21" i="30"/>
  <c r="BR77" i="30" s="1"/>
  <c r="BP21" i="30"/>
  <c r="BP77" i="30" s="1"/>
  <c r="BN21" i="30"/>
  <c r="BN77" i="30" s="1"/>
  <c r="BL21" i="30"/>
  <c r="BL77" i="30" s="1"/>
  <c r="BJ21" i="30"/>
  <c r="BJ77" i="30" s="1"/>
  <c r="BH21" i="30"/>
  <c r="BH77" i="30" s="1"/>
  <c r="BF21" i="30"/>
  <c r="BF77" i="30" s="1"/>
  <c r="BD21" i="30"/>
  <c r="BD77" i="30" s="1"/>
  <c r="BB21" i="30"/>
  <c r="BB77" i="30" s="1"/>
  <c r="AZ21" i="30"/>
  <c r="AZ77" i="30" s="1"/>
  <c r="AX21" i="30"/>
  <c r="AX77" i="30" s="1"/>
  <c r="AV21" i="30"/>
  <c r="AV77" i="30" s="1"/>
  <c r="E21" i="30"/>
  <c r="F21" i="30"/>
  <c r="C255" i="32" s="1"/>
  <c r="EA20" i="30"/>
  <c r="EA76" i="30" s="1"/>
  <c r="DY20" i="30"/>
  <c r="DY76" i="30" s="1"/>
  <c r="DW20" i="30"/>
  <c r="DW76" i="30" s="1"/>
  <c r="DU20" i="30"/>
  <c r="DU76" i="30" s="1"/>
  <c r="DS20" i="30"/>
  <c r="DS76" i="30" s="1"/>
  <c r="DQ20" i="30"/>
  <c r="DQ76" i="30" s="1"/>
  <c r="DO20" i="30"/>
  <c r="DO76" i="30" s="1"/>
  <c r="DM20" i="30"/>
  <c r="DM76" i="30" s="1"/>
  <c r="DK20" i="30"/>
  <c r="DK76" i="30" s="1"/>
  <c r="DI20" i="30"/>
  <c r="DI76" i="30" s="1"/>
  <c r="DG20" i="30"/>
  <c r="DG76" i="30" s="1"/>
  <c r="DE20" i="30"/>
  <c r="DE76" i="30" s="1"/>
  <c r="CY20" i="30"/>
  <c r="CY76" i="30" s="1"/>
  <c r="CW20" i="30"/>
  <c r="CW76" i="30" s="1"/>
  <c r="CU20" i="30"/>
  <c r="CU76" i="30" s="1"/>
  <c r="CS20" i="30"/>
  <c r="CS76" i="30" s="1"/>
  <c r="CQ20" i="30"/>
  <c r="CQ76" i="30" s="1"/>
  <c r="CO20" i="30"/>
  <c r="CO76" i="30" s="1"/>
  <c r="CM20" i="30"/>
  <c r="CM76" i="30" s="1"/>
  <c r="CK20" i="30"/>
  <c r="CK76" i="30" s="1"/>
  <c r="CI20" i="30"/>
  <c r="CI76" i="30" s="1"/>
  <c r="CG20" i="30"/>
  <c r="CG76" i="30" s="1"/>
  <c r="CE20" i="30"/>
  <c r="CE76" i="30" s="1"/>
  <c r="CC20" i="30"/>
  <c r="CC76" i="30" s="1"/>
  <c r="BZ20" i="30"/>
  <c r="BZ53" i="30" s="1"/>
  <c r="BR20" i="30"/>
  <c r="BR76" i="30" s="1"/>
  <c r="BP20" i="30"/>
  <c r="BP76" i="30" s="1"/>
  <c r="BN20" i="30"/>
  <c r="BN76" i="30" s="1"/>
  <c r="BL20" i="30"/>
  <c r="BL76" i="30" s="1"/>
  <c r="BJ20" i="30"/>
  <c r="BJ76" i="30" s="1"/>
  <c r="BH20" i="30"/>
  <c r="BH76" i="30" s="1"/>
  <c r="BF20" i="30"/>
  <c r="BF76" i="30" s="1"/>
  <c r="BD20" i="30"/>
  <c r="BD76" i="30" s="1"/>
  <c r="BB20" i="30"/>
  <c r="BB76" i="30" s="1"/>
  <c r="AZ20" i="30"/>
  <c r="AZ76" i="30" s="1"/>
  <c r="AX20" i="30"/>
  <c r="AX76" i="30" s="1"/>
  <c r="AV20" i="30"/>
  <c r="AV76" i="30" s="1"/>
  <c r="AT20" i="30"/>
  <c r="E20" i="30"/>
  <c r="EA19" i="30"/>
  <c r="EA75" i="30" s="1"/>
  <c r="DY19" i="30"/>
  <c r="DY75" i="30" s="1"/>
  <c r="DW19" i="30"/>
  <c r="DW75" i="30" s="1"/>
  <c r="DU19" i="30"/>
  <c r="DU75" i="30" s="1"/>
  <c r="DS19" i="30"/>
  <c r="DS75" i="30" s="1"/>
  <c r="DQ19" i="30"/>
  <c r="DQ75" i="30" s="1"/>
  <c r="DO19" i="30"/>
  <c r="DO75" i="30" s="1"/>
  <c r="DM19" i="30"/>
  <c r="DM75" i="30" s="1"/>
  <c r="DK19" i="30"/>
  <c r="DK75" i="30" s="1"/>
  <c r="DI19" i="30"/>
  <c r="DI75" i="30" s="1"/>
  <c r="DG19" i="30"/>
  <c r="DG75" i="30" s="1"/>
  <c r="DE19" i="30"/>
  <c r="DE75" i="30" s="1"/>
  <c r="CY19" i="30"/>
  <c r="CY75" i="30" s="1"/>
  <c r="CW19" i="30"/>
  <c r="CW75" i="30" s="1"/>
  <c r="CU19" i="30"/>
  <c r="CU75" i="30" s="1"/>
  <c r="CS19" i="30"/>
  <c r="CS75" i="30" s="1"/>
  <c r="CQ19" i="30"/>
  <c r="CQ75" i="30" s="1"/>
  <c r="CO19" i="30"/>
  <c r="CO75" i="30" s="1"/>
  <c r="CM19" i="30"/>
  <c r="CM75" i="30" s="1"/>
  <c r="CK19" i="30"/>
  <c r="CK75" i="30" s="1"/>
  <c r="CI19" i="30"/>
  <c r="CI75" i="30" s="1"/>
  <c r="CG19" i="30"/>
  <c r="CG75" i="30" s="1"/>
  <c r="CE19" i="30"/>
  <c r="CE75" i="30" s="1"/>
  <c r="CC19" i="30"/>
  <c r="CC75" i="30" s="1"/>
  <c r="BZ19" i="30"/>
  <c r="BZ52" i="30" s="1"/>
  <c r="BR19" i="30"/>
  <c r="BP19" i="30"/>
  <c r="BN19" i="30"/>
  <c r="BL19" i="30"/>
  <c r="BJ19" i="30"/>
  <c r="BJ75" i="30" s="1"/>
  <c r="BH19" i="30"/>
  <c r="BH75" i="30" s="1"/>
  <c r="BF19" i="30"/>
  <c r="BF75" i="30" s="1"/>
  <c r="BD19" i="30"/>
  <c r="BD75" i="30" s="1"/>
  <c r="BB19" i="30"/>
  <c r="BB75" i="30" s="1"/>
  <c r="AZ19" i="30"/>
  <c r="AZ75" i="30" s="1"/>
  <c r="AX19" i="30"/>
  <c r="AX75" i="30" s="1"/>
  <c r="AV19" i="30"/>
  <c r="EB18" i="30"/>
  <c r="EB74" i="30" s="1"/>
  <c r="DZ18" i="30"/>
  <c r="DZ74" i="30" s="1"/>
  <c r="DX18" i="30"/>
  <c r="DX74" i="30" s="1"/>
  <c r="DV18" i="30"/>
  <c r="DV74" i="30" s="1"/>
  <c r="DT18" i="30"/>
  <c r="DT74" i="30" s="1"/>
  <c r="DR18" i="30"/>
  <c r="DR74" i="30" s="1"/>
  <c r="DP18" i="30"/>
  <c r="DP74" i="30" s="1"/>
  <c r="DN18" i="30"/>
  <c r="DN74" i="30" s="1"/>
  <c r="DL18" i="30"/>
  <c r="DL74" i="30" s="1"/>
  <c r="DJ18" i="30"/>
  <c r="DJ74" i="30" s="1"/>
  <c r="DH18" i="30"/>
  <c r="DH74" i="30" s="1"/>
  <c r="DF18" i="30"/>
  <c r="DF74" i="30" s="1"/>
  <c r="DC18" i="30"/>
  <c r="DC51" i="30" s="1"/>
  <c r="CX18" i="30"/>
  <c r="CX74" i="30" s="1"/>
  <c r="CV18" i="30"/>
  <c r="CV74" i="30" s="1"/>
  <c r="CT18" i="30"/>
  <c r="CT74" i="30" s="1"/>
  <c r="CR18" i="30"/>
  <c r="CR74" i="30" s="1"/>
  <c r="CP18" i="30"/>
  <c r="CP74" i="30" s="1"/>
  <c r="CN18" i="30"/>
  <c r="CN74" i="30" s="1"/>
  <c r="CL18" i="30"/>
  <c r="CL74" i="30" s="1"/>
  <c r="CJ18" i="30"/>
  <c r="CJ74" i="30" s="1"/>
  <c r="CH18" i="30"/>
  <c r="CH74" i="30" s="1"/>
  <c r="CF18" i="30"/>
  <c r="CF74" i="30" s="1"/>
  <c r="CD18" i="30"/>
  <c r="CD74" i="30" s="1"/>
  <c r="CB18" i="30"/>
  <c r="CB74" i="30" s="1"/>
  <c r="BS18" i="30"/>
  <c r="BS74" i="30" s="1"/>
  <c r="BQ18" i="30"/>
  <c r="BO18" i="30"/>
  <c r="BK18" i="30"/>
  <c r="BI18" i="30"/>
  <c r="BG18" i="30"/>
  <c r="BC18" i="30"/>
  <c r="BA18" i="30"/>
  <c r="AY18" i="30"/>
  <c r="AT18" i="30"/>
  <c r="E18" i="30"/>
  <c r="C18" i="30"/>
  <c r="B18" i="30"/>
  <c r="EB17" i="30"/>
  <c r="EB73" i="30" s="1"/>
  <c r="DZ17" i="30"/>
  <c r="DZ73" i="30" s="1"/>
  <c r="DX17" i="30"/>
  <c r="DX73" i="30" s="1"/>
  <c r="DV17" i="30"/>
  <c r="DV73" i="30" s="1"/>
  <c r="DT17" i="30"/>
  <c r="DT73" i="30" s="1"/>
  <c r="DR17" i="30"/>
  <c r="DR73" i="30" s="1"/>
  <c r="DP17" i="30"/>
  <c r="DP73" i="30" s="1"/>
  <c r="DN17" i="30"/>
  <c r="DN73" i="30" s="1"/>
  <c r="DL17" i="30"/>
  <c r="DL73" i="30" s="1"/>
  <c r="DJ17" i="30"/>
  <c r="DJ73" i="30" s="1"/>
  <c r="DH17" i="30"/>
  <c r="DH73" i="30" s="1"/>
  <c r="DF17" i="30"/>
  <c r="DF73" i="30" s="1"/>
  <c r="DC17" i="30"/>
  <c r="DC50" i="30" s="1"/>
  <c r="CX17" i="30"/>
  <c r="CX73" i="30" s="1"/>
  <c r="CV17" i="30"/>
  <c r="CV73" i="30" s="1"/>
  <c r="CT17" i="30"/>
  <c r="CT73" i="30" s="1"/>
  <c r="CR17" i="30"/>
  <c r="CR73" i="30" s="1"/>
  <c r="CP17" i="30"/>
  <c r="CP73" i="30" s="1"/>
  <c r="CN17" i="30"/>
  <c r="CN73" i="30" s="1"/>
  <c r="CL17" i="30"/>
  <c r="CL73" i="30" s="1"/>
  <c r="CJ17" i="30"/>
  <c r="CJ73" i="30" s="1"/>
  <c r="CH17" i="30"/>
  <c r="CH73" i="30" s="1"/>
  <c r="CF17" i="30"/>
  <c r="CF73" i="30" s="1"/>
  <c r="CD17" i="30"/>
  <c r="CD73" i="30" s="1"/>
  <c r="CB17" i="30"/>
  <c r="CB73" i="30" s="1"/>
  <c r="BS17" i="30"/>
  <c r="BQ17" i="30"/>
  <c r="BO17" i="30"/>
  <c r="BK17" i="30"/>
  <c r="BI17" i="30"/>
  <c r="BG17" i="30"/>
  <c r="BC17" i="30"/>
  <c r="BA17" i="30"/>
  <c r="AY17" i="30"/>
  <c r="AT17" i="30"/>
  <c r="E17" i="30"/>
  <c r="C17" i="30"/>
  <c r="B17" i="30"/>
  <c r="EB16" i="30"/>
  <c r="EB72" i="30" s="1"/>
  <c r="DZ16" i="30"/>
  <c r="DZ72" i="30" s="1"/>
  <c r="DX16" i="30"/>
  <c r="DX72" i="30" s="1"/>
  <c r="DV16" i="30"/>
  <c r="DV72" i="30" s="1"/>
  <c r="DT16" i="30"/>
  <c r="DT72" i="30" s="1"/>
  <c r="DR16" i="30"/>
  <c r="DR72" i="30" s="1"/>
  <c r="DP16" i="30"/>
  <c r="DP72" i="30" s="1"/>
  <c r="DN16" i="30"/>
  <c r="DN72" i="30" s="1"/>
  <c r="DL16" i="30"/>
  <c r="DL72" i="30" s="1"/>
  <c r="DJ16" i="30"/>
  <c r="DJ72" i="30" s="1"/>
  <c r="DH16" i="30"/>
  <c r="DH72" i="30" s="1"/>
  <c r="DF16" i="30"/>
  <c r="DF72" i="30" s="1"/>
  <c r="DC16" i="30"/>
  <c r="DC49" i="30" s="1"/>
  <c r="CX16" i="30"/>
  <c r="CX72" i="30" s="1"/>
  <c r="CV16" i="30"/>
  <c r="CV72" i="30" s="1"/>
  <c r="CT16" i="30"/>
  <c r="CT72" i="30" s="1"/>
  <c r="CR16" i="30"/>
  <c r="CR72" i="30" s="1"/>
  <c r="CP16" i="30"/>
  <c r="CP72" i="30" s="1"/>
  <c r="CN16" i="30"/>
  <c r="CN72" i="30" s="1"/>
  <c r="CL16" i="30"/>
  <c r="CL72" i="30" s="1"/>
  <c r="CJ16" i="30"/>
  <c r="CJ72" i="30" s="1"/>
  <c r="CH16" i="30"/>
  <c r="CH72" i="30" s="1"/>
  <c r="CF16" i="30"/>
  <c r="CF72" i="30" s="1"/>
  <c r="CD16" i="30"/>
  <c r="CD72" i="30" s="1"/>
  <c r="CB16" i="30"/>
  <c r="CB72" i="30" s="1"/>
  <c r="BS16" i="30"/>
  <c r="BQ16" i="30"/>
  <c r="BO16" i="30"/>
  <c r="BK16" i="30"/>
  <c r="BI16" i="30"/>
  <c r="BG16" i="30"/>
  <c r="BE16" i="30"/>
  <c r="BC16" i="30"/>
  <c r="BA16" i="30"/>
  <c r="AY16" i="30"/>
  <c r="AT16" i="30"/>
  <c r="E16" i="30"/>
  <c r="C16" i="30"/>
  <c r="B16" i="30"/>
  <c r="EB15" i="30"/>
  <c r="EB71" i="30" s="1"/>
  <c r="DZ15" i="30"/>
  <c r="DZ71" i="30" s="1"/>
  <c r="DX15" i="30"/>
  <c r="DX71" i="30" s="1"/>
  <c r="DV15" i="30"/>
  <c r="DV71" i="30" s="1"/>
  <c r="DT15" i="30"/>
  <c r="DT71" i="30" s="1"/>
  <c r="DR15" i="30"/>
  <c r="DR71" i="30" s="1"/>
  <c r="DP15" i="30"/>
  <c r="DP71" i="30" s="1"/>
  <c r="DN15" i="30"/>
  <c r="DN71" i="30" s="1"/>
  <c r="DL15" i="30"/>
  <c r="DL71" i="30" s="1"/>
  <c r="DJ15" i="30"/>
  <c r="DJ71" i="30" s="1"/>
  <c r="DH15" i="30"/>
  <c r="DH71" i="30" s="1"/>
  <c r="DF15" i="30"/>
  <c r="DF71" i="30" s="1"/>
  <c r="DC15" i="30"/>
  <c r="DC48" i="30" s="1"/>
  <c r="CX15" i="30"/>
  <c r="CX71" i="30" s="1"/>
  <c r="CV15" i="30"/>
  <c r="CV71" i="30" s="1"/>
  <c r="CT15" i="30"/>
  <c r="CT71" i="30" s="1"/>
  <c r="CR15" i="30"/>
  <c r="CR71" i="30" s="1"/>
  <c r="CP15" i="30"/>
  <c r="CP71" i="30" s="1"/>
  <c r="CN15" i="30"/>
  <c r="CN60" i="30" s="1"/>
  <c r="CL15" i="30"/>
  <c r="CL71" i="30" s="1"/>
  <c r="CJ15" i="30"/>
  <c r="CJ60" i="30" s="1"/>
  <c r="CH15" i="30"/>
  <c r="CH71" i="30" s="1"/>
  <c r="CF15" i="30"/>
  <c r="CF71" i="30" s="1"/>
  <c r="CD15" i="30"/>
  <c r="CD71" i="30" s="1"/>
  <c r="CB15" i="30"/>
  <c r="CB71" i="30" s="1"/>
  <c r="BS15" i="30"/>
  <c r="BS71" i="30" s="1"/>
  <c r="BQ15" i="30"/>
  <c r="BQ60" i="30" s="1"/>
  <c r="BQ106" i="30" s="1"/>
  <c r="BO15" i="30"/>
  <c r="BO71" i="30" s="1"/>
  <c r="BM15" i="30"/>
  <c r="BM60" i="30" s="1"/>
  <c r="BM106" i="30" s="1"/>
  <c r="BK15" i="30"/>
  <c r="BK71" i="30" s="1"/>
  <c r="BI15" i="30"/>
  <c r="BI71" i="30" s="1"/>
  <c r="BG15" i="30"/>
  <c r="BG71" i="30" s="1"/>
  <c r="BE15" i="30"/>
  <c r="BC15" i="30"/>
  <c r="BA15" i="30"/>
  <c r="BA60" i="30" s="1"/>
  <c r="BA106" i="30" s="1"/>
  <c r="AY15" i="30"/>
  <c r="AY71" i="30" s="1"/>
  <c r="AW15" i="30"/>
  <c r="AW60" i="30" s="1"/>
  <c r="AW106" i="30" s="1"/>
  <c r="AT15" i="30"/>
  <c r="EB24" i="30"/>
  <c r="EA24" i="30"/>
  <c r="DZ24" i="30"/>
  <c r="DY24" i="30"/>
  <c r="DX24" i="30"/>
  <c r="DW24" i="30"/>
  <c r="DV24" i="30"/>
  <c r="DU24" i="30"/>
  <c r="DT24" i="30"/>
  <c r="DS24" i="30"/>
  <c r="DR24" i="30"/>
  <c r="DQ24" i="30"/>
  <c r="DP24" i="30"/>
  <c r="DO24" i="30"/>
  <c r="DN24" i="30"/>
  <c r="DM24" i="30"/>
  <c r="DL24" i="30"/>
  <c r="DK24" i="30"/>
  <c r="DJ24" i="30"/>
  <c r="DI24" i="30"/>
  <c r="DH24" i="30"/>
  <c r="DG24" i="30"/>
  <c r="DF24" i="30"/>
  <c r="DE24" i="30"/>
  <c r="DC69" i="30"/>
  <c r="CY24" i="30"/>
  <c r="CX24" i="30"/>
  <c r="CW24" i="30"/>
  <c r="CV24" i="30"/>
  <c r="CU24" i="30"/>
  <c r="CT24" i="30"/>
  <c r="CS24" i="30"/>
  <c r="CR24" i="30"/>
  <c r="CQ24" i="30"/>
  <c r="CP24" i="30"/>
  <c r="CO24" i="30"/>
  <c r="CN24" i="30"/>
  <c r="CM24" i="30"/>
  <c r="CL24" i="30"/>
  <c r="CK24" i="30"/>
  <c r="CJ24" i="30"/>
  <c r="CI24" i="30"/>
  <c r="CH24" i="30"/>
  <c r="CG24" i="30"/>
  <c r="CF24" i="30"/>
  <c r="CE24" i="30"/>
  <c r="CD24" i="30"/>
  <c r="CC24" i="30"/>
  <c r="CB24" i="30"/>
  <c r="BZ46" i="30"/>
  <c r="BS24" i="30"/>
  <c r="BQ24" i="30"/>
  <c r="BP24" i="30"/>
  <c r="BO24" i="30"/>
  <c r="BM24" i="30"/>
  <c r="BL24" i="30"/>
  <c r="BK24" i="30"/>
  <c r="BI24" i="30"/>
  <c r="BH24" i="30"/>
  <c r="BG24" i="30"/>
  <c r="BE24" i="30"/>
  <c r="BD24" i="30"/>
  <c r="BC24" i="30"/>
  <c r="BA24" i="30"/>
  <c r="AZ24" i="30"/>
  <c r="AY24" i="30"/>
  <c r="AW24" i="30"/>
  <c r="AV24" i="30"/>
  <c r="AT13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DC68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68" i="30"/>
  <c r="BR23" i="30"/>
  <c r="BP23" i="30"/>
  <c r="BN23" i="30"/>
  <c r="BL23" i="30"/>
  <c r="BJ23" i="30"/>
  <c r="BH23" i="30"/>
  <c r="BF23" i="30"/>
  <c r="BD23" i="30"/>
  <c r="BB23" i="30"/>
  <c r="AZ23" i="30"/>
  <c r="AX23" i="30"/>
  <c r="AV23" i="30"/>
  <c r="AT12" i="30"/>
  <c r="EB22" i="30"/>
  <c r="DZ22" i="30"/>
  <c r="DX22" i="30"/>
  <c r="DV22" i="30"/>
  <c r="DT22" i="30"/>
  <c r="DR22" i="30"/>
  <c r="DP22" i="30"/>
  <c r="DN22" i="30"/>
  <c r="DL22" i="30"/>
  <c r="DJ22" i="30"/>
  <c r="DH22" i="30"/>
  <c r="DF22" i="30"/>
  <c r="DC44" i="30"/>
  <c r="CX22" i="30"/>
  <c r="CV22" i="30"/>
  <c r="CT22" i="30"/>
  <c r="CR22" i="30"/>
  <c r="CP22" i="30"/>
  <c r="CN22" i="30"/>
  <c r="CL22" i="30"/>
  <c r="CJ22" i="30"/>
  <c r="CH22" i="30"/>
  <c r="CF22" i="30"/>
  <c r="CD22" i="30"/>
  <c r="CB22" i="30"/>
  <c r="BZ67" i="30"/>
  <c r="BS22" i="30"/>
  <c r="BQ22" i="30"/>
  <c r="BO22" i="30"/>
  <c r="BM22" i="30"/>
  <c r="BK22" i="30"/>
  <c r="BI22" i="30"/>
  <c r="BG22" i="30"/>
  <c r="BE22" i="30"/>
  <c r="BC22" i="30"/>
  <c r="BA22" i="30"/>
  <c r="AY22" i="30"/>
  <c r="AW22" i="30"/>
  <c r="AT11" i="30"/>
  <c r="EB21" i="30"/>
  <c r="DZ21" i="30"/>
  <c r="DX21" i="30"/>
  <c r="DV21" i="30"/>
  <c r="DT21" i="30"/>
  <c r="DR21" i="30"/>
  <c r="DP21" i="30"/>
  <c r="DN21" i="30"/>
  <c r="DL21" i="30"/>
  <c r="DJ21" i="30"/>
  <c r="DH21" i="30"/>
  <c r="DF21" i="30"/>
  <c r="DC43" i="30"/>
  <c r="CX21" i="30"/>
  <c r="CV21" i="30"/>
  <c r="CT21" i="30"/>
  <c r="CR21" i="30"/>
  <c r="CP21" i="30"/>
  <c r="CN21" i="30"/>
  <c r="CL21" i="30"/>
  <c r="CJ21" i="30"/>
  <c r="CH21" i="30"/>
  <c r="CF21" i="30"/>
  <c r="CD21" i="30"/>
  <c r="CB21" i="30"/>
  <c r="BZ43" i="30"/>
  <c r="BS21" i="30"/>
  <c r="BQ21" i="30"/>
  <c r="BO21" i="30"/>
  <c r="BM21" i="30"/>
  <c r="BK21" i="30"/>
  <c r="BI21" i="30"/>
  <c r="BG21" i="30"/>
  <c r="BE21" i="30"/>
  <c r="BC21" i="30"/>
  <c r="BA21" i="30"/>
  <c r="AY21" i="30"/>
  <c r="AW21" i="30"/>
  <c r="AT10" i="30"/>
  <c r="EB20" i="30"/>
  <c r="DZ20" i="30"/>
  <c r="DX20" i="30"/>
  <c r="DV20" i="30"/>
  <c r="DT20" i="30"/>
  <c r="DR20" i="30"/>
  <c r="DP20" i="30"/>
  <c r="DN20" i="30"/>
  <c r="DL20" i="30"/>
  <c r="DJ20" i="30"/>
  <c r="DH20" i="30"/>
  <c r="DF20" i="30"/>
  <c r="DC65" i="30"/>
  <c r="CX20" i="30"/>
  <c r="CV20" i="30"/>
  <c r="CT20" i="30"/>
  <c r="CR20" i="30"/>
  <c r="CP20" i="30"/>
  <c r="CN20" i="30"/>
  <c r="CL20" i="30"/>
  <c r="CJ20" i="30"/>
  <c r="CH20" i="30"/>
  <c r="CF20" i="30"/>
  <c r="CD20" i="30"/>
  <c r="CB20" i="30"/>
  <c r="BZ42" i="30"/>
  <c r="BS20" i="30"/>
  <c r="BQ20" i="30"/>
  <c r="BO20" i="30"/>
  <c r="BM20" i="30"/>
  <c r="BK20" i="30"/>
  <c r="BI20" i="30"/>
  <c r="BG20" i="30"/>
  <c r="BE20" i="30"/>
  <c r="BC20" i="30"/>
  <c r="BA20" i="30"/>
  <c r="AY20" i="30"/>
  <c r="AW20" i="30"/>
  <c r="AT9" i="30"/>
  <c r="EB19" i="30"/>
  <c r="DZ19" i="30"/>
  <c r="DX19" i="30"/>
  <c r="DV19" i="30"/>
  <c r="DT19" i="30"/>
  <c r="DR19" i="30"/>
  <c r="DP19" i="30"/>
  <c r="DN19" i="30"/>
  <c r="DL19" i="30"/>
  <c r="DJ19" i="30"/>
  <c r="DH19" i="30"/>
  <c r="DF19" i="30"/>
  <c r="DC30" i="30"/>
  <c r="DC94" i="30" s="1"/>
  <c r="CX19" i="30"/>
  <c r="CV19" i="30"/>
  <c r="CT19" i="30"/>
  <c r="CR19" i="30"/>
  <c r="CP19" i="30"/>
  <c r="CN19" i="30"/>
  <c r="CL19" i="30"/>
  <c r="CJ19" i="30"/>
  <c r="CH19" i="30"/>
  <c r="CF19" i="30"/>
  <c r="CD19" i="30"/>
  <c r="CB19" i="30"/>
  <c r="BZ64" i="30"/>
  <c r="BS19" i="30"/>
  <c r="BQ19" i="30"/>
  <c r="BO19" i="30"/>
  <c r="BK19" i="30"/>
  <c r="BI19" i="30"/>
  <c r="BG19" i="30"/>
  <c r="BC19" i="30"/>
  <c r="BA19" i="30"/>
  <c r="AY19" i="30"/>
  <c r="AT8" i="30"/>
  <c r="EA18" i="30"/>
  <c r="DY18" i="30"/>
  <c r="DW18" i="30"/>
  <c r="DU18" i="30"/>
  <c r="DS18" i="30"/>
  <c r="DQ18" i="30"/>
  <c r="DO18" i="30"/>
  <c r="DM18" i="30"/>
  <c r="DK18" i="30"/>
  <c r="DI18" i="30"/>
  <c r="DG18" i="30"/>
  <c r="DE18" i="30"/>
  <c r="DC63" i="30"/>
  <c r="CY18" i="30"/>
  <c r="CW18" i="30"/>
  <c r="CU18" i="30"/>
  <c r="CS18" i="30"/>
  <c r="CQ18" i="30"/>
  <c r="CO18" i="30"/>
  <c r="CM18" i="30"/>
  <c r="CK18" i="30"/>
  <c r="CI18" i="30"/>
  <c r="CG18" i="30"/>
  <c r="CE18" i="30"/>
  <c r="CC18" i="30"/>
  <c r="BZ29" i="30"/>
  <c r="BZ93" i="30" s="1"/>
  <c r="BR18" i="30"/>
  <c r="BP18" i="30"/>
  <c r="BN18" i="30"/>
  <c r="BL18" i="30"/>
  <c r="BJ18" i="30"/>
  <c r="BH18" i="30"/>
  <c r="BF18" i="30"/>
  <c r="BD18" i="30"/>
  <c r="BB18" i="30"/>
  <c r="AZ18" i="30"/>
  <c r="AX18" i="30"/>
  <c r="AV18" i="30"/>
  <c r="EA17" i="30"/>
  <c r="DY17" i="30"/>
  <c r="DW17" i="30"/>
  <c r="DU17" i="30"/>
  <c r="DS17" i="30"/>
  <c r="DQ17" i="30"/>
  <c r="DO17" i="30"/>
  <c r="DM17" i="30"/>
  <c r="DK17" i="30"/>
  <c r="DI17" i="30"/>
  <c r="DG17" i="30"/>
  <c r="DE17" i="30"/>
  <c r="DC39" i="30"/>
  <c r="CY17" i="30"/>
  <c r="CW17" i="30"/>
  <c r="CU17" i="30"/>
  <c r="CS17" i="30"/>
  <c r="CQ17" i="30"/>
  <c r="CO17" i="30"/>
  <c r="CM17" i="30"/>
  <c r="CK17" i="30"/>
  <c r="CI17" i="30"/>
  <c r="CG17" i="30"/>
  <c r="CE17" i="30"/>
  <c r="CC17" i="30"/>
  <c r="BZ39" i="30"/>
  <c r="BR17" i="30"/>
  <c r="BP17" i="30"/>
  <c r="BN17" i="30"/>
  <c r="BL17" i="30"/>
  <c r="BJ17" i="30"/>
  <c r="BH17" i="30"/>
  <c r="BF17" i="30"/>
  <c r="BD17" i="30"/>
  <c r="BB17" i="30"/>
  <c r="AZ17" i="30"/>
  <c r="AX17" i="30"/>
  <c r="AV17" i="30"/>
  <c r="EA16" i="30"/>
  <c r="DY16" i="30"/>
  <c r="DW16" i="30"/>
  <c r="DU16" i="30"/>
  <c r="DS16" i="30"/>
  <c r="DQ16" i="30"/>
  <c r="DO16" i="30"/>
  <c r="DM16" i="30"/>
  <c r="DK16" i="30"/>
  <c r="DI16" i="30"/>
  <c r="DG16" i="30"/>
  <c r="DE16" i="30"/>
  <c r="DC61" i="30"/>
  <c r="CY16" i="30"/>
  <c r="CW16" i="30"/>
  <c r="CU16" i="30"/>
  <c r="CS16" i="30"/>
  <c r="CQ16" i="30"/>
  <c r="CO16" i="30"/>
  <c r="CM16" i="30"/>
  <c r="CK16" i="30"/>
  <c r="CI16" i="30"/>
  <c r="CG16" i="30"/>
  <c r="CE16" i="30"/>
  <c r="CC16" i="30"/>
  <c r="BZ27" i="30"/>
  <c r="BZ91" i="30" s="1"/>
  <c r="BR16" i="30"/>
  <c r="BP16" i="30"/>
  <c r="BN16" i="30"/>
  <c r="BL16" i="30"/>
  <c r="BJ16" i="30"/>
  <c r="BH16" i="30"/>
  <c r="BF16" i="30"/>
  <c r="BD16" i="30"/>
  <c r="BB16" i="30"/>
  <c r="AZ16" i="30"/>
  <c r="AX16" i="30"/>
  <c r="AV16" i="30"/>
  <c r="EA15" i="30"/>
  <c r="DY15" i="30"/>
  <c r="DW15" i="30"/>
  <c r="DU15" i="30"/>
  <c r="DS15" i="30"/>
  <c r="DQ15" i="30"/>
  <c r="DO15" i="30"/>
  <c r="DM15" i="30"/>
  <c r="DK15" i="30"/>
  <c r="DI15" i="30"/>
  <c r="DG15" i="30"/>
  <c r="DE15" i="30"/>
  <c r="DC60" i="30"/>
  <c r="CY15" i="30"/>
  <c r="CW15" i="30"/>
  <c r="CU15" i="30"/>
  <c r="CS15" i="30"/>
  <c r="CQ15" i="30"/>
  <c r="CO15" i="30"/>
  <c r="CM15" i="30"/>
  <c r="CK15" i="30"/>
  <c r="CI15" i="30"/>
  <c r="CG15" i="30"/>
  <c r="CE15" i="30"/>
  <c r="CC15" i="30"/>
  <c r="BZ15" i="30"/>
  <c r="BZ48" i="30" s="1"/>
  <c r="BR15" i="30"/>
  <c r="BP15" i="30"/>
  <c r="BL15" i="30"/>
  <c r="BJ15" i="30"/>
  <c r="BH15" i="30"/>
  <c r="BB15" i="30"/>
  <c r="AZ15" i="30"/>
  <c r="DD2" i="30"/>
  <c r="DD120" i="32" s="1"/>
  <c r="CA2" i="30"/>
  <c r="CA120" i="32" s="1"/>
  <c r="AU2" i="30"/>
  <c r="AU120" i="32" s="1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X213" i="29" s="1"/>
  <c r="W207" i="29"/>
  <c r="V207" i="29"/>
  <c r="U207" i="29"/>
  <c r="T207" i="29"/>
  <c r="S207" i="29"/>
  <c r="R207" i="29"/>
  <c r="Q207" i="29"/>
  <c r="P207" i="29"/>
  <c r="P213" i="29" s="1"/>
  <c r="O207" i="29"/>
  <c r="N207" i="29"/>
  <c r="M207" i="29"/>
  <c r="L207" i="29"/>
  <c r="L213" i="29" s="1"/>
  <c r="K207" i="29"/>
  <c r="J207" i="29"/>
  <c r="I207" i="29"/>
  <c r="H207" i="29"/>
  <c r="H213" i="29" s="1"/>
  <c r="G207" i="29"/>
  <c r="F207" i="29"/>
  <c r="E207" i="29"/>
  <c r="D207" i="29"/>
  <c r="C207" i="29"/>
  <c r="Z206" i="29"/>
  <c r="Y206" i="29"/>
  <c r="X206" i="29"/>
  <c r="X212" i="29" s="1"/>
  <c r="W206" i="29"/>
  <c r="W212" i="29" s="1"/>
  <c r="V206" i="29"/>
  <c r="U206" i="29"/>
  <c r="T206" i="29"/>
  <c r="T212" i="29" s="1"/>
  <c r="S206" i="29"/>
  <c r="S212" i="29" s="1"/>
  <c r="R206" i="29"/>
  <c r="Q206" i="29"/>
  <c r="P206" i="29"/>
  <c r="P212" i="29" s="1"/>
  <c r="P214" i="29" s="1"/>
  <c r="O206" i="29"/>
  <c r="N206" i="29"/>
  <c r="M206" i="29"/>
  <c r="L206" i="29"/>
  <c r="L212" i="29" s="1"/>
  <c r="K206" i="29"/>
  <c r="J206" i="29"/>
  <c r="I206" i="29"/>
  <c r="H206" i="29"/>
  <c r="H212" i="29" s="1"/>
  <c r="H214" i="29" s="1"/>
  <c r="G206" i="29"/>
  <c r="G212" i="29" s="1"/>
  <c r="F206" i="29"/>
  <c r="E206" i="29"/>
  <c r="D206" i="29"/>
  <c r="C206" i="29"/>
  <c r="C212" i="29" s="1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X196" i="29"/>
  <c r="AB76" i="30" s="1"/>
  <c r="T196" i="29"/>
  <c r="X76" i="30" s="1"/>
  <c r="R196" i="29"/>
  <c r="V76" i="30" s="1"/>
  <c r="P196" i="29"/>
  <c r="T76" i="30" s="1"/>
  <c r="H196" i="29"/>
  <c r="L76" i="30" s="1"/>
  <c r="C196" i="29"/>
  <c r="G76" i="30" s="1"/>
  <c r="Z195" i="29"/>
  <c r="AD75" i="30" s="1"/>
  <c r="Y195" i="29"/>
  <c r="AC75" i="30" s="1"/>
  <c r="X195" i="29"/>
  <c r="AB75" i="30" s="1"/>
  <c r="P195" i="29"/>
  <c r="T75" i="30" s="1"/>
  <c r="L195" i="29"/>
  <c r="P75" i="30" s="1"/>
  <c r="J195" i="29"/>
  <c r="N75" i="30" s="1"/>
  <c r="H195" i="29"/>
  <c r="L75" i="30" s="1"/>
  <c r="Z47" i="29"/>
  <c r="X47" i="29"/>
  <c r="V47" i="29"/>
  <c r="T47" i="29"/>
  <c r="R47" i="29"/>
  <c r="P47" i="29"/>
  <c r="N47" i="29"/>
  <c r="L47" i="29"/>
  <c r="J47" i="29"/>
  <c r="H47" i="29"/>
  <c r="F47" i="29"/>
  <c r="D47" i="29"/>
  <c r="W25" i="29"/>
  <c r="S25" i="29"/>
  <c r="O25" i="29"/>
  <c r="K25" i="29"/>
  <c r="G25" i="29"/>
  <c r="C25" i="29"/>
  <c r="V20" i="29"/>
  <c r="V21" i="29" s="1"/>
  <c r="V7" i="29" s="1"/>
  <c r="V12" i="29" s="1"/>
  <c r="R20" i="29"/>
  <c r="R21" i="29" s="1"/>
  <c r="R7" i="29" s="1"/>
  <c r="R12" i="29" s="1"/>
  <c r="N20" i="29"/>
  <c r="N21" i="29" s="1"/>
  <c r="N7" i="29" s="1"/>
  <c r="N12" i="29" s="1"/>
  <c r="J20" i="29"/>
  <c r="J21" i="29" s="1"/>
  <c r="J7" i="29" s="1"/>
  <c r="J12" i="29" s="1"/>
  <c r="F20" i="29"/>
  <c r="F21" i="29" s="1"/>
  <c r="F7" i="29" s="1"/>
  <c r="F12" i="29" s="1"/>
  <c r="C19" i="29"/>
  <c r="C6" i="29" s="1"/>
  <c r="C10" i="29" s="1"/>
  <c r="X4" i="29"/>
  <c r="T4" i="29"/>
  <c r="L4" i="29"/>
  <c r="D4" i="29"/>
  <c r="C62" i="29"/>
  <c r="C63" i="29" s="1"/>
  <c r="C49" i="29" s="1"/>
  <c r="C61" i="29"/>
  <c r="C48" i="29" s="1"/>
  <c r="Y47" i="29"/>
  <c r="W47" i="29"/>
  <c r="U47" i="29"/>
  <c r="S47" i="29"/>
  <c r="Q47" i="29"/>
  <c r="O47" i="29"/>
  <c r="M47" i="29"/>
  <c r="K47" i="29"/>
  <c r="I47" i="29"/>
  <c r="G47" i="29"/>
  <c r="E47" i="29"/>
  <c r="C47" i="29"/>
  <c r="Y46" i="29"/>
  <c r="W46" i="29"/>
  <c r="U46" i="29"/>
  <c r="S46" i="29"/>
  <c r="Q46" i="29"/>
  <c r="O46" i="29"/>
  <c r="M46" i="29"/>
  <c r="K46" i="29"/>
  <c r="I46" i="29"/>
  <c r="G46" i="29"/>
  <c r="E46" i="29"/>
  <c r="C46" i="29"/>
  <c r="C41" i="29"/>
  <c r="C42" i="29" s="1"/>
  <c r="C28" i="29" s="1"/>
  <c r="C40" i="29"/>
  <c r="C27" i="29" s="1"/>
  <c r="Z26" i="29"/>
  <c r="X26" i="29"/>
  <c r="V26" i="29"/>
  <c r="T26" i="29"/>
  <c r="R26" i="29"/>
  <c r="P26" i="29"/>
  <c r="N26" i="29"/>
  <c r="L26" i="29"/>
  <c r="J26" i="29"/>
  <c r="H26" i="29"/>
  <c r="F26" i="29"/>
  <c r="D26" i="29"/>
  <c r="Z25" i="29"/>
  <c r="X25" i="29"/>
  <c r="V25" i="29"/>
  <c r="T25" i="29"/>
  <c r="R25" i="29"/>
  <c r="P25" i="29"/>
  <c r="N25" i="29"/>
  <c r="L25" i="29"/>
  <c r="J25" i="29"/>
  <c r="H25" i="29"/>
  <c r="F25" i="29"/>
  <c r="D25" i="29"/>
  <c r="AK22" i="29"/>
  <c r="AK25" i="29" s="1"/>
  <c r="AK21" i="29"/>
  <c r="AK20" i="29"/>
  <c r="T20" i="29"/>
  <c r="T21" i="29" s="1"/>
  <c r="T7" i="29" s="1"/>
  <c r="T12" i="29" s="1"/>
  <c r="L20" i="29"/>
  <c r="L21" i="29" s="1"/>
  <c r="L7" i="29" s="1"/>
  <c r="L12" i="29" s="1"/>
  <c r="D20" i="29"/>
  <c r="D21" i="29" s="1"/>
  <c r="D7" i="29" s="1"/>
  <c r="D12" i="29" s="1"/>
  <c r="AJ8" i="29"/>
  <c r="B81" i="30" s="1"/>
  <c r="V5" i="29"/>
  <c r="V9" i="29" s="1"/>
  <c r="N5" i="29"/>
  <c r="N9" i="29" s="1"/>
  <c r="F5" i="29"/>
  <c r="F9" i="29" s="1"/>
  <c r="Q4" i="29"/>
  <c r="I4" i="29"/>
  <c r="T3" i="29"/>
  <c r="X72" i="30" s="1"/>
  <c r="L3" i="29"/>
  <c r="D3" i="29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Z32" i="28"/>
  <c r="AC31" i="28"/>
  <c r="Z29" i="28"/>
  <c r="AC28" i="28"/>
  <c r="Z24" i="28"/>
  <c r="K11" i="28"/>
  <c r="K10" i="28"/>
  <c r="D23" i="32" l="1"/>
  <c r="D24" i="32"/>
  <c r="Y208" i="31"/>
  <c r="X208" i="31"/>
  <c r="T208" i="31"/>
  <c r="Z208" i="31"/>
  <c r="Z189" i="28"/>
  <c r="AC189" i="28" s="1"/>
  <c r="Y189" i="28"/>
  <c r="AB189" i="28" s="1"/>
  <c r="X189" i="28"/>
  <c r="T189" i="28"/>
  <c r="Z189" i="31"/>
  <c r="AC189" i="31" s="1"/>
  <c r="Y189" i="31"/>
  <c r="X189" i="31"/>
  <c r="T189" i="31"/>
  <c r="Z188" i="31"/>
  <c r="Y188" i="31"/>
  <c r="AB188" i="31" s="1"/>
  <c r="T188" i="31"/>
  <c r="X188" i="31"/>
  <c r="Y188" i="28"/>
  <c r="AB188" i="28" s="1"/>
  <c r="X188" i="28"/>
  <c r="Z188" i="28"/>
  <c r="AC188" i="28" s="1"/>
  <c r="T188" i="28"/>
  <c r="X187" i="31"/>
  <c r="T187" i="31"/>
  <c r="Y187" i="31"/>
  <c r="AB187" i="31" s="1"/>
  <c r="Z187" i="31"/>
  <c r="X187" i="28"/>
  <c r="AA187" i="28" s="1"/>
  <c r="Y187" i="28"/>
  <c r="T187" i="28"/>
  <c r="Z187" i="28"/>
  <c r="AC187" i="28" s="1"/>
  <c r="Y164" i="28"/>
  <c r="AB164" i="28" s="1"/>
  <c r="X164" i="28"/>
  <c r="AA164" i="28" s="1"/>
  <c r="Z164" i="28"/>
  <c r="T164" i="28"/>
  <c r="Z164" i="31"/>
  <c r="AC164" i="31" s="1"/>
  <c r="Y164" i="31"/>
  <c r="T164" i="31"/>
  <c r="X164" i="31"/>
  <c r="AA164" i="31" s="1"/>
  <c r="S195" i="29"/>
  <c r="W75" i="30" s="1"/>
  <c r="S213" i="29"/>
  <c r="S214" i="29" s="1"/>
  <c r="T213" i="29"/>
  <c r="T214" i="29" s="1"/>
  <c r="L8" i="29"/>
  <c r="P72" i="30"/>
  <c r="Y4" i="29"/>
  <c r="Z20" i="29"/>
  <c r="Z21" i="29" s="1"/>
  <c r="Z7" i="29" s="1"/>
  <c r="Z12" i="29" s="1"/>
  <c r="E212" i="29"/>
  <c r="M212" i="29"/>
  <c r="O4" i="29"/>
  <c r="AZ70" i="31"/>
  <c r="AZ72" i="31"/>
  <c r="AZ73" i="31"/>
  <c r="D8" i="29"/>
  <c r="H72" i="30"/>
  <c r="P4" i="29"/>
  <c r="BA73" i="31"/>
  <c r="T245" i="31"/>
  <c r="X245" i="31" s="1"/>
  <c r="D223" i="32"/>
  <c r="D224" i="32"/>
  <c r="D239" i="32"/>
  <c r="O212" i="29"/>
  <c r="Z213" i="29"/>
  <c r="C213" i="29"/>
  <c r="Y196" i="29"/>
  <c r="AC76" i="30" s="1"/>
  <c r="D213" i="29"/>
  <c r="F86" i="30"/>
  <c r="B116" i="30" s="1"/>
  <c r="Z169" i="31"/>
  <c r="AC169" i="31" s="1"/>
  <c r="Y169" i="31"/>
  <c r="X169" i="31"/>
  <c r="T169" i="31"/>
  <c r="X170" i="31"/>
  <c r="AA170" i="31" s="1"/>
  <c r="T170" i="31"/>
  <c r="W170" i="31" s="1"/>
  <c r="Z170" i="31"/>
  <c r="AC170" i="31" s="1"/>
  <c r="Y170" i="31"/>
  <c r="AB170" i="31" s="1"/>
  <c r="Z169" i="28"/>
  <c r="AC169" i="28" s="1"/>
  <c r="Y169" i="28"/>
  <c r="AB169" i="28" s="1"/>
  <c r="X169" i="28"/>
  <c r="AA169" i="28" s="1"/>
  <c r="T169" i="28"/>
  <c r="X170" i="28"/>
  <c r="AA170" i="28" s="1"/>
  <c r="T170" i="28"/>
  <c r="Z170" i="28"/>
  <c r="AC170" i="28" s="1"/>
  <c r="Y170" i="28"/>
  <c r="AB170" i="28" s="1"/>
  <c r="Z171" i="28"/>
  <c r="AC171" i="28" s="1"/>
  <c r="Y171" i="28"/>
  <c r="AB171" i="28" s="1"/>
  <c r="X171" i="28"/>
  <c r="AA171" i="28" s="1"/>
  <c r="T171" i="28"/>
  <c r="X171" i="31"/>
  <c r="AA171" i="31" s="1"/>
  <c r="T171" i="31"/>
  <c r="AI171" i="31" s="1"/>
  <c r="Z171" i="31"/>
  <c r="AC171" i="31" s="1"/>
  <c r="Y171" i="31"/>
  <c r="AB171" i="31" s="1"/>
  <c r="Y167" i="28"/>
  <c r="AB167" i="28" s="1"/>
  <c r="X167" i="28"/>
  <c r="Z167" i="28"/>
  <c r="AC167" i="28" s="1"/>
  <c r="T167" i="28"/>
  <c r="Y167" i="31"/>
  <c r="AB167" i="31" s="1"/>
  <c r="X167" i="31"/>
  <c r="AA167" i="31" s="1"/>
  <c r="Z167" i="31"/>
  <c r="AC167" i="31" s="1"/>
  <c r="T167" i="31"/>
  <c r="Z168" i="28"/>
  <c r="Y168" i="28"/>
  <c r="X168" i="28"/>
  <c r="AA168" i="28" s="1"/>
  <c r="T168" i="28"/>
  <c r="Y168" i="31"/>
  <c r="AB168" i="31" s="1"/>
  <c r="X168" i="31"/>
  <c r="AA168" i="31" s="1"/>
  <c r="T168" i="31"/>
  <c r="Z168" i="31"/>
  <c r="AC168" i="31" s="1"/>
  <c r="K212" i="29"/>
  <c r="K213" i="29"/>
  <c r="Z209" i="31"/>
  <c r="AC209" i="31" s="1"/>
  <c r="Y209" i="31"/>
  <c r="AB209" i="31" s="1"/>
  <c r="X209" i="31"/>
  <c r="AA209" i="31" s="1"/>
  <c r="T209" i="31"/>
  <c r="AJ209" i="31" s="1"/>
  <c r="Z186" i="31"/>
  <c r="AC186" i="31" s="1"/>
  <c r="T186" i="31"/>
  <c r="Y186" i="31"/>
  <c r="AB186" i="31" s="1"/>
  <c r="X186" i="31"/>
  <c r="AA186" i="31" s="1"/>
  <c r="X186" i="28"/>
  <c r="AA186" i="28" s="1"/>
  <c r="Z186" i="28"/>
  <c r="AC186" i="28" s="1"/>
  <c r="T186" i="28"/>
  <c r="W186" i="28" s="1"/>
  <c r="Y186" i="28"/>
  <c r="AB186" i="28" s="1"/>
  <c r="Z166" i="31"/>
  <c r="AC166" i="31" s="1"/>
  <c r="Y166" i="31"/>
  <c r="AB166" i="31" s="1"/>
  <c r="X166" i="31"/>
  <c r="AA166" i="31" s="1"/>
  <c r="T166" i="31"/>
  <c r="U166" i="31" s="1"/>
  <c r="Z166" i="28"/>
  <c r="AC166" i="28" s="1"/>
  <c r="T166" i="28"/>
  <c r="Y166" i="28"/>
  <c r="AB166" i="28" s="1"/>
  <c r="X166" i="28"/>
  <c r="AA166" i="28" s="1"/>
  <c r="Z165" i="31"/>
  <c r="AC165" i="31" s="1"/>
  <c r="Y165" i="31"/>
  <c r="AB165" i="31" s="1"/>
  <c r="X165" i="31"/>
  <c r="AA165" i="31" s="1"/>
  <c r="T165" i="31"/>
  <c r="T165" i="28"/>
  <c r="Z165" i="28"/>
  <c r="AC165" i="28" s="1"/>
  <c r="Y165" i="28"/>
  <c r="AB165" i="28" s="1"/>
  <c r="X165" i="28"/>
  <c r="P68" i="29"/>
  <c r="P70" i="29"/>
  <c r="AD129" i="32"/>
  <c r="J212" i="29"/>
  <c r="R212" i="29"/>
  <c r="Z212" i="29"/>
  <c r="Z214" i="29" s="1"/>
  <c r="J213" i="29"/>
  <c r="R213" i="29"/>
  <c r="T8" i="29"/>
  <c r="AA189" i="28"/>
  <c r="Q196" i="29"/>
  <c r="U76" i="30" s="1"/>
  <c r="N129" i="32"/>
  <c r="L2" i="29"/>
  <c r="L214" i="29"/>
  <c r="Y213" i="29"/>
  <c r="AB168" i="28"/>
  <c r="AA188" i="28"/>
  <c r="AC164" i="28"/>
  <c r="U164" i="28"/>
  <c r="C195" i="29"/>
  <c r="G75" i="30" s="1"/>
  <c r="G77" i="30" s="1"/>
  <c r="M114" i="31"/>
  <c r="I212" i="29"/>
  <c r="Q212" i="29"/>
  <c r="Y212" i="29"/>
  <c r="I213" i="29"/>
  <c r="Q213" i="29"/>
  <c r="BP96" i="31"/>
  <c r="AC51" i="31"/>
  <c r="F212" i="29"/>
  <c r="N212" i="29"/>
  <c r="AC48" i="31"/>
  <c r="AC50" i="31"/>
  <c r="G213" i="29"/>
  <c r="G214" i="29" s="1"/>
  <c r="O213" i="29"/>
  <c r="W213" i="29"/>
  <c r="W214" i="29" s="1"/>
  <c r="U34" i="28"/>
  <c r="AB173" i="31"/>
  <c r="W185" i="31"/>
  <c r="AA172" i="28"/>
  <c r="AB172" i="28"/>
  <c r="AB176" i="28"/>
  <c r="AA180" i="28"/>
  <c r="AB180" i="28"/>
  <c r="AB184" i="28"/>
  <c r="AB192" i="28"/>
  <c r="AB196" i="28"/>
  <c r="AA196" i="28"/>
  <c r="AA200" i="28"/>
  <c r="AA204" i="28"/>
  <c r="AA178" i="31"/>
  <c r="AB182" i="31"/>
  <c r="AC182" i="31"/>
  <c r="AC190" i="31"/>
  <c r="AB190" i="31"/>
  <c r="AG190" i="31"/>
  <c r="AB194" i="31"/>
  <c r="AC194" i="31"/>
  <c r="AE194" i="31" s="1"/>
  <c r="AC198" i="31"/>
  <c r="AC202" i="31"/>
  <c r="AE202" i="31" s="1"/>
  <c r="AB206" i="31"/>
  <c r="AG206" i="31"/>
  <c r="AC210" i="31"/>
  <c r="AE210" i="31" s="1"/>
  <c r="AB210" i="31"/>
  <c r="AC214" i="31"/>
  <c r="AB214" i="31"/>
  <c r="AG214" i="31"/>
  <c r="AC218" i="31"/>
  <c r="AE218" i="31" s="1"/>
  <c r="AC222" i="31"/>
  <c r="AB222" i="31"/>
  <c r="AG222" i="31"/>
  <c r="AC226" i="31"/>
  <c r="AE226" i="31" s="1"/>
  <c r="AB226" i="31"/>
  <c r="AC173" i="28"/>
  <c r="AC177" i="28"/>
  <c r="AC181" i="28"/>
  <c r="AC185" i="28"/>
  <c r="AC193" i="28"/>
  <c r="AB197" i="28"/>
  <c r="AC197" i="28"/>
  <c r="AC201" i="28"/>
  <c r="AB201" i="28"/>
  <c r="AB205" i="28"/>
  <c r="AC205" i="28"/>
  <c r="AA175" i="31"/>
  <c r="AC183" i="31"/>
  <c r="AA183" i="31"/>
  <c r="AC187" i="31"/>
  <c r="AC191" i="31"/>
  <c r="AC195" i="31"/>
  <c r="AC199" i="31"/>
  <c r="AC203" i="31"/>
  <c r="AC207" i="31"/>
  <c r="AA207" i="31"/>
  <c r="AC211" i="31"/>
  <c r="AA211" i="31"/>
  <c r="AB215" i="31"/>
  <c r="AC215" i="31"/>
  <c r="AC219" i="31"/>
  <c r="AB223" i="31"/>
  <c r="AC223" i="31"/>
  <c r="AC227" i="31"/>
  <c r="AA227" i="31"/>
  <c r="AC174" i="28"/>
  <c r="AD174" i="28" s="1"/>
  <c r="AA174" i="28"/>
  <c r="AI174" i="28"/>
  <c r="AI178" i="28"/>
  <c r="AC178" i="28"/>
  <c r="AE178" i="28" s="1"/>
  <c r="AA178" i="28"/>
  <c r="AC182" i="28"/>
  <c r="AA182" i="28"/>
  <c r="AI182" i="28"/>
  <c r="AC190" i="28"/>
  <c r="AA190" i="28"/>
  <c r="AI190" i="28"/>
  <c r="AC194" i="28"/>
  <c r="AA194" i="28"/>
  <c r="AI194" i="28"/>
  <c r="AC198" i="28"/>
  <c r="AC202" i="28"/>
  <c r="AC206" i="28"/>
  <c r="J125" i="31"/>
  <c r="J129" i="31"/>
  <c r="AC172" i="31"/>
  <c r="AB172" i="31"/>
  <c r="AA172" i="31"/>
  <c r="AC176" i="31"/>
  <c r="AC180" i="31"/>
  <c r="AJ180" i="31"/>
  <c r="AC184" i="31"/>
  <c r="AC188" i="31"/>
  <c r="AC200" i="31"/>
  <c r="AC208" i="31"/>
  <c r="AC216" i="31"/>
  <c r="AC224" i="31"/>
  <c r="AJ175" i="28"/>
  <c r="AC175" i="28"/>
  <c r="AB175" i="28"/>
  <c r="AJ179" i="28"/>
  <c r="AC179" i="28"/>
  <c r="AB179" i="28"/>
  <c r="AJ183" i="28"/>
  <c r="AC183" i="28"/>
  <c r="AE183" i="28" s="1"/>
  <c r="AB183" i="28"/>
  <c r="AI187" i="28"/>
  <c r="AB187" i="28"/>
  <c r="AC191" i="28"/>
  <c r="AE191" i="28" s="1"/>
  <c r="AB191" i="28"/>
  <c r="AJ191" i="28"/>
  <c r="AJ195" i="28"/>
  <c r="AC195" i="28"/>
  <c r="AB195" i="28"/>
  <c r="AB199" i="28"/>
  <c r="AG203" i="28"/>
  <c r="AC203" i="28"/>
  <c r="AB203" i="28"/>
  <c r="AB207" i="28"/>
  <c r="AW18" i="30"/>
  <c r="AW91" i="30"/>
  <c r="AW92" i="30"/>
  <c r="BE92" i="30"/>
  <c r="BM92" i="30"/>
  <c r="E70" i="29"/>
  <c r="V195" i="29"/>
  <c r="Z75" i="30" s="1"/>
  <c r="U70" i="29"/>
  <c r="E72" i="29"/>
  <c r="F69" i="29"/>
  <c r="BD15" i="30"/>
  <c r="M195" i="29"/>
  <c r="Q75" i="30" s="1"/>
  <c r="E195" i="29"/>
  <c r="I75" i="30" s="1"/>
  <c r="U195" i="29"/>
  <c r="E213" i="29"/>
  <c r="E214" i="29" s="1"/>
  <c r="M213" i="29"/>
  <c r="V213" i="29"/>
  <c r="U68" i="29"/>
  <c r="F68" i="29"/>
  <c r="K114" i="31"/>
  <c r="D212" i="29"/>
  <c r="V212" i="29"/>
  <c r="F213" i="29"/>
  <c r="N213" i="29"/>
  <c r="AG107" i="31"/>
  <c r="AI89" i="31"/>
  <c r="X214" i="29"/>
  <c r="C186" i="32"/>
  <c r="X273" i="31"/>
  <c r="BN103" i="31"/>
  <c r="C214" i="29"/>
  <c r="AD105" i="31"/>
  <c r="AJ96" i="31"/>
  <c r="AL105" i="31"/>
  <c r="U212" i="29"/>
  <c r="U213" i="29"/>
  <c r="AT105" i="31"/>
  <c r="BO89" i="31"/>
  <c r="AX105" i="31"/>
  <c r="BM107" i="31"/>
  <c r="BB105" i="31"/>
  <c r="J152" i="31"/>
  <c r="C225" i="32" s="1"/>
  <c r="Y24" i="28"/>
  <c r="AU97" i="31"/>
  <c r="BJ105" i="31"/>
  <c r="BR105" i="31"/>
  <c r="AN98" i="31"/>
  <c r="AH105" i="31"/>
  <c r="AP203" i="32"/>
  <c r="AQ203" i="32" s="1"/>
  <c r="U175" i="28"/>
  <c r="U191" i="28"/>
  <c r="U183" i="28"/>
  <c r="AF214" i="31"/>
  <c r="AG183" i="28"/>
  <c r="AI183" i="28"/>
  <c r="AF190" i="31"/>
  <c r="AF222" i="31"/>
  <c r="DS26" i="30"/>
  <c r="Y32" i="28"/>
  <c r="W191" i="28"/>
  <c r="DQ26" i="30"/>
  <c r="AX27" i="30"/>
  <c r="AX72" i="30" s="1"/>
  <c r="DO27" i="30"/>
  <c r="CN28" i="30"/>
  <c r="DE28" i="30"/>
  <c r="DU28" i="30"/>
  <c r="BP29" i="30"/>
  <c r="CN29" i="30"/>
  <c r="DE29" i="30"/>
  <c r="DU29" i="30"/>
  <c r="BF30" i="30"/>
  <c r="CF30" i="30"/>
  <c r="CV30" i="30"/>
  <c r="CK32" i="30"/>
  <c r="DS32" i="30"/>
  <c r="CC33" i="30"/>
  <c r="AC201" i="31"/>
  <c r="AA201" i="31"/>
  <c r="W201" i="31"/>
  <c r="C53" i="29"/>
  <c r="C55" i="29" s="1"/>
  <c r="F20" i="30"/>
  <c r="C254" i="32" s="1"/>
  <c r="F22" i="30"/>
  <c r="C256" i="32" s="1"/>
  <c r="CN26" i="30"/>
  <c r="DE26" i="30"/>
  <c r="DU26" i="30"/>
  <c r="BN27" i="30"/>
  <c r="CN27" i="30"/>
  <c r="DE27" i="30"/>
  <c r="DS27" i="30"/>
  <c r="CB28" i="30"/>
  <c r="CR28" i="30"/>
  <c r="DI28" i="30"/>
  <c r="DY28" i="30"/>
  <c r="CB29" i="30"/>
  <c r="CR29" i="30"/>
  <c r="DI29" i="30"/>
  <c r="DY29" i="30"/>
  <c r="BN30" i="30"/>
  <c r="CJ30" i="30"/>
  <c r="DS30" i="30"/>
  <c r="AW31" i="30"/>
  <c r="DF31" i="30"/>
  <c r="BJ32" i="30"/>
  <c r="CC32" i="30"/>
  <c r="CN32" i="30"/>
  <c r="DG32" i="30"/>
  <c r="DW32" i="30"/>
  <c r="CK33" i="30"/>
  <c r="BA34" i="30"/>
  <c r="DJ34" i="30"/>
  <c r="DF99" i="30"/>
  <c r="DN99" i="30"/>
  <c r="DV99" i="30"/>
  <c r="BL91" i="31"/>
  <c r="BG91" i="31"/>
  <c r="AQ91" i="31"/>
  <c r="AJ91" i="31"/>
  <c r="CP28" i="30"/>
  <c r="CP29" i="30"/>
  <c r="AC185" i="31"/>
  <c r="AA185" i="31"/>
  <c r="AC197" i="31"/>
  <c r="AA197" i="31"/>
  <c r="AF197" i="31"/>
  <c r="AG191" i="28"/>
  <c r="CP26" i="30"/>
  <c r="DG26" i="30"/>
  <c r="DW26" i="30"/>
  <c r="CP27" i="30"/>
  <c r="DF27" i="30"/>
  <c r="DU27" i="30"/>
  <c r="CD28" i="30"/>
  <c r="CT28" i="30"/>
  <c r="DK28" i="30"/>
  <c r="EA28" i="30"/>
  <c r="CD29" i="30"/>
  <c r="CT29" i="30"/>
  <c r="DK29" i="30"/>
  <c r="EA29" i="30"/>
  <c r="BP30" i="30"/>
  <c r="CL30" i="30"/>
  <c r="BA31" i="30"/>
  <c r="DJ31" i="30"/>
  <c r="CD32" i="30"/>
  <c r="CP32" i="30"/>
  <c r="DI32" i="30"/>
  <c r="DY32" i="30"/>
  <c r="CO33" i="30"/>
  <c r="BE34" i="30"/>
  <c r="DN34" i="30"/>
  <c r="BE106" i="31"/>
  <c r="AO106" i="31"/>
  <c r="W24" i="28"/>
  <c r="AI191" i="28"/>
  <c r="CB26" i="30"/>
  <c r="CR26" i="30"/>
  <c r="DI26" i="30"/>
  <c r="DY26" i="30"/>
  <c r="CB27" i="30"/>
  <c r="CR27" i="30"/>
  <c r="DG27" i="30"/>
  <c r="DW27" i="30"/>
  <c r="CF28" i="30"/>
  <c r="CV28" i="30"/>
  <c r="DM28" i="30"/>
  <c r="CF29" i="30"/>
  <c r="CV29" i="30"/>
  <c r="DM29" i="30"/>
  <c r="CN30" i="30"/>
  <c r="DG30" i="30"/>
  <c r="DW30" i="30"/>
  <c r="BE31" i="30"/>
  <c r="DN31" i="30"/>
  <c r="AX32" i="30"/>
  <c r="BN32" i="30"/>
  <c r="CF32" i="30"/>
  <c r="CR32" i="30"/>
  <c r="DK32" i="30"/>
  <c r="EA32" i="30"/>
  <c r="CS33" i="30"/>
  <c r="BI34" i="30"/>
  <c r="DR34" i="30"/>
  <c r="CG35" i="30"/>
  <c r="BV92" i="31"/>
  <c r="BU92" i="31"/>
  <c r="AD92" i="31"/>
  <c r="BU106" i="31"/>
  <c r="C190" i="32"/>
  <c r="J166" i="31"/>
  <c r="C234" i="32" s="1"/>
  <c r="CS90" i="32"/>
  <c r="BL90" i="32"/>
  <c r="BD90" i="32"/>
  <c r="DY95" i="32"/>
  <c r="DN95" i="32"/>
  <c r="DZ95" i="32"/>
  <c r="DJ95" i="32"/>
  <c r="DS95" i="32"/>
  <c r="DR95" i="32"/>
  <c r="DO95" i="32"/>
  <c r="DK95" i="32"/>
  <c r="DG95" i="32"/>
  <c r="EA95" i="32"/>
  <c r="DF95" i="32"/>
  <c r="DV95" i="32"/>
  <c r="DK26" i="30"/>
  <c r="EA26" i="30"/>
  <c r="DI27" i="30"/>
  <c r="DY27" i="30"/>
  <c r="CH28" i="30"/>
  <c r="CX28" i="30"/>
  <c r="DO28" i="30"/>
  <c r="CH29" i="30"/>
  <c r="CX29" i="30"/>
  <c r="DO29" i="30"/>
  <c r="CP30" i="30"/>
  <c r="BI31" i="30"/>
  <c r="DR31" i="30"/>
  <c r="CW33" i="30"/>
  <c r="CF99" i="30"/>
  <c r="CN99" i="30"/>
  <c r="CV99" i="30"/>
  <c r="DY88" i="32"/>
  <c r="DX88" i="32"/>
  <c r="DU88" i="32"/>
  <c r="DP88" i="32"/>
  <c r="DM88" i="32"/>
  <c r="DH88" i="32"/>
  <c r="DE88" i="32"/>
  <c r="DP92" i="32"/>
  <c r="DX92" i="32"/>
  <c r="DH92" i="32"/>
  <c r="EB92" i="32"/>
  <c r="DL92" i="32"/>
  <c r="AC181" i="31"/>
  <c r="AA181" i="31"/>
  <c r="W181" i="31"/>
  <c r="W32" i="28"/>
  <c r="BN75" i="30"/>
  <c r="DM26" i="30"/>
  <c r="DK27" i="30"/>
  <c r="EA27" i="30"/>
  <c r="CJ28" i="30"/>
  <c r="DQ28" i="30"/>
  <c r="CJ29" i="30"/>
  <c r="DQ29" i="30"/>
  <c r="BM31" i="30"/>
  <c r="DV31" i="30"/>
  <c r="DJ99" i="30"/>
  <c r="DJ100" i="30" s="1"/>
  <c r="DJ101" i="30" s="1"/>
  <c r="DR99" i="30"/>
  <c r="DZ99" i="30"/>
  <c r="BP75" i="30"/>
  <c r="DO26" i="30"/>
  <c r="DM27" i="30"/>
  <c r="CL28" i="30"/>
  <c r="DS28" i="30"/>
  <c r="CL29" i="30"/>
  <c r="DS29" i="30"/>
  <c r="BQ31" i="30"/>
  <c r="DZ31" i="30"/>
  <c r="BD104" i="31"/>
  <c r="AN104" i="31"/>
  <c r="CX89" i="32"/>
  <c r="BP89" i="32"/>
  <c r="BL89" i="32"/>
  <c r="CS89" i="32"/>
  <c r="BH89" i="32"/>
  <c r="CP89" i="32"/>
  <c r="BG89" i="32"/>
  <c r="CK89" i="32"/>
  <c r="AZ89" i="32"/>
  <c r="CH89" i="32"/>
  <c r="AY89" i="32"/>
  <c r="CG89" i="32"/>
  <c r="AV89" i="32"/>
  <c r="BK97" i="31"/>
  <c r="CG88" i="32"/>
  <c r="CY94" i="32"/>
  <c r="CR94" i="32"/>
  <c r="CJ94" i="32"/>
  <c r="AI134" i="31"/>
  <c r="AF206" i="31"/>
  <c r="CV87" i="32"/>
  <c r="CF94" i="32"/>
  <c r="BD96" i="32"/>
  <c r="BQ96" i="32"/>
  <c r="EB96" i="32"/>
  <c r="DR96" i="32"/>
  <c r="DG96" i="32"/>
  <c r="DZ96" i="32"/>
  <c r="DO96" i="32"/>
  <c r="DE96" i="32"/>
  <c r="DS96" i="32"/>
  <c r="CS88" i="32"/>
  <c r="BQ94" i="32"/>
  <c r="BJ94" i="32"/>
  <c r="BB94" i="32"/>
  <c r="CN94" i="32"/>
  <c r="AY89" i="31"/>
  <c r="BT98" i="31"/>
  <c r="BN105" i="31"/>
  <c r="AW107" i="31"/>
  <c r="J167" i="31"/>
  <c r="C235" i="32" s="1"/>
  <c r="CK87" i="32"/>
  <c r="BD88" i="32"/>
  <c r="CK93" i="32"/>
  <c r="BS93" i="32"/>
  <c r="CS93" i="32"/>
  <c r="AX94" i="32"/>
  <c r="CV94" i="32"/>
  <c r="BP95" i="32"/>
  <c r="BE95" i="32"/>
  <c r="BQ95" i="32"/>
  <c r="BA95" i="32"/>
  <c r="BN95" i="32"/>
  <c r="H131" i="32"/>
  <c r="C118" i="32"/>
  <c r="D118" i="32" s="1"/>
  <c r="CO87" i="32"/>
  <c r="BL88" i="32"/>
  <c r="CG90" i="32"/>
  <c r="BF94" i="32"/>
  <c r="BS96" i="32"/>
  <c r="BL96" i="32"/>
  <c r="BA96" i="32"/>
  <c r="BI96" i="32"/>
  <c r="AX96" i="32"/>
  <c r="BH96" i="32"/>
  <c r="CD96" i="32"/>
  <c r="AE97" i="31"/>
  <c r="AH103" i="31"/>
  <c r="AY87" i="32"/>
  <c r="CW87" i="32"/>
  <c r="CO90" i="32"/>
  <c r="DP93" i="32"/>
  <c r="DH93" i="32"/>
  <c r="BN94" i="32"/>
  <c r="DZ94" i="32"/>
  <c r="DW94" i="32"/>
  <c r="DO94" i="32"/>
  <c r="AV96" i="32"/>
  <c r="BJ96" i="32"/>
  <c r="CL96" i="32"/>
  <c r="CY160" i="32"/>
  <c r="CY161" i="32" s="1"/>
  <c r="CY162" i="32" s="1"/>
  <c r="AC174" i="31"/>
  <c r="V71" i="29"/>
  <c r="C110" i="29"/>
  <c r="S110" i="29"/>
  <c r="S38" i="29" s="1"/>
  <c r="H111" i="29"/>
  <c r="Z111" i="29"/>
  <c r="F114" i="29"/>
  <c r="N114" i="29"/>
  <c r="V114" i="29"/>
  <c r="Z118" i="29"/>
  <c r="S118" i="29"/>
  <c r="J118" i="29"/>
  <c r="L111" i="29"/>
  <c r="J119" i="29"/>
  <c r="DX90" i="32"/>
  <c r="CV91" i="32"/>
  <c r="CK92" i="32"/>
  <c r="CW96" i="32"/>
  <c r="J110" i="29"/>
  <c r="Z110" i="29"/>
  <c r="M111" i="29"/>
  <c r="I114" i="29"/>
  <c r="Q114" i="29"/>
  <c r="Y114" i="29"/>
  <c r="F116" i="29"/>
  <c r="N116" i="29"/>
  <c r="V116" i="29"/>
  <c r="K117" i="29"/>
  <c r="K37" i="29" s="1"/>
  <c r="I118" i="29"/>
  <c r="T118" i="29"/>
  <c r="K119" i="29"/>
  <c r="P111" i="29"/>
  <c r="R119" i="29"/>
  <c r="CV89" i="32"/>
  <c r="CK91" i="32"/>
  <c r="BD92" i="32"/>
  <c r="CM95" i="32"/>
  <c r="CH96" i="32"/>
  <c r="N110" i="29"/>
  <c r="C114" i="29"/>
  <c r="K114" i="29"/>
  <c r="S114" i="29"/>
  <c r="H116" i="29"/>
  <c r="P116" i="29"/>
  <c r="C118" i="29"/>
  <c r="L118" i="29"/>
  <c r="W118" i="29"/>
  <c r="S119" i="29"/>
  <c r="F157" i="29"/>
  <c r="P157" i="29"/>
  <c r="O159" i="29"/>
  <c r="O161" i="29"/>
  <c r="C162" i="29"/>
  <c r="K162" i="29"/>
  <c r="S162" i="29"/>
  <c r="F73" i="30"/>
  <c r="B110" i="30" s="1"/>
  <c r="D154" i="29"/>
  <c r="L154" i="29"/>
  <c r="T154" i="29"/>
  <c r="T61" i="29" s="1"/>
  <c r="T48" i="29" s="1"/>
  <c r="H156" i="29"/>
  <c r="P156" i="29"/>
  <c r="X156" i="29"/>
  <c r="G157" i="29"/>
  <c r="R157" i="29"/>
  <c r="D158" i="29"/>
  <c r="L158" i="29"/>
  <c r="T158" i="29"/>
  <c r="P159" i="29"/>
  <c r="D160" i="29"/>
  <c r="L160" i="29"/>
  <c r="T160" i="29"/>
  <c r="P161" i="29"/>
  <c r="D162" i="29"/>
  <c r="L162" i="29"/>
  <c r="U162" i="29"/>
  <c r="E154" i="29"/>
  <c r="M154" i="29"/>
  <c r="U154" i="29"/>
  <c r="I156" i="29"/>
  <c r="Q156" i="29"/>
  <c r="Y156" i="29"/>
  <c r="H157" i="29"/>
  <c r="S157" i="29"/>
  <c r="E158" i="29"/>
  <c r="M158" i="29"/>
  <c r="U158" i="29"/>
  <c r="C159" i="29"/>
  <c r="S159" i="29"/>
  <c r="E160" i="29"/>
  <c r="M160" i="29"/>
  <c r="U160" i="29"/>
  <c r="C161" i="29"/>
  <c r="S161" i="29"/>
  <c r="E162" i="29"/>
  <c r="M162" i="29"/>
  <c r="V162" i="29"/>
  <c r="F154" i="29"/>
  <c r="N154" i="29"/>
  <c r="V154" i="29"/>
  <c r="V61" i="29" s="1"/>
  <c r="V48" i="29" s="1"/>
  <c r="J156" i="29"/>
  <c r="R156" i="29"/>
  <c r="J157" i="29"/>
  <c r="T157" i="29"/>
  <c r="F158" i="29"/>
  <c r="N158" i="29"/>
  <c r="V158" i="29"/>
  <c r="D159" i="29"/>
  <c r="D58" i="29" s="1"/>
  <c r="T159" i="29"/>
  <c r="F160" i="29"/>
  <c r="N160" i="29"/>
  <c r="V160" i="29"/>
  <c r="D161" i="29"/>
  <c r="T161" i="29"/>
  <c r="F162" i="29"/>
  <c r="N162" i="29"/>
  <c r="W162" i="29"/>
  <c r="DZ75" i="31"/>
  <c r="DR77" i="31"/>
  <c r="DZ77" i="31"/>
  <c r="G154" i="29"/>
  <c r="O154" i="29"/>
  <c r="K157" i="29"/>
  <c r="W157" i="29"/>
  <c r="G158" i="29"/>
  <c r="O158" i="29"/>
  <c r="G159" i="29"/>
  <c r="W159" i="29"/>
  <c r="G160" i="29"/>
  <c r="O160" i="29"/>
  <c r="G161" i="29"/>
  <c r="W161" i="29"/>
  <c r="G162" i="29"/>
  <c r="O162" i="29"/>
  <c r="Y162" i="29"/>
  <c r="L157" i="29"/>
  <c r="H159" i="29"/>
  <c r="X159" i="29"/>
  <c r="H161" i="29"/>
  <c r="X161" i="29"/>
  <c r="X61" i="29" s="1"/>
  <c r="X48" i="29" s="1"/>
  <c r="H162" i="29"/>
  <c r="P162" i="29"/>
  <c r="Z162" i="29"/>
  <c r="AF22" i="29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BR28" i="30"/>
  <c r="AZ27" i="30"/>
  <c r="BH27" i="30"/>
  <c r="BH72" i="30" s="1"/>
  <c r="BP27" i="30"/>
  <c r="AV28" i="30"/>
  <c r="BD28" i="30"/>
  <c r="BL28" i="30"/>
  <c r="BB29" i="30"/>
  <c r="BR29" i="30"/>
  <c r="BR74" i="30" s="1"/>
  <c r="AX26" i="30"/>
  <c r="BF26" i="30"/>
  <c r="BF60" i="30" s="1"/>
  <c r="BF106" i="30" s="1"/>
  <c r="BN26" i="30"/>
  <c r="AV27" i="30"/>
  <c r="BB27" i="30"/>
  <c r="BJ27" i="30"/>
  <c r="BR27" i="30"/>
  <c r="BR72" i="30" s="1"/>
  <c r="AX28" i="30"/>
  <c r="BF28" i="30"/>
  <c r="BN28" i="30"/>
  <c r="BN73" i="30" s="1"/>
  <c r="AV29" i="30"/>
  <c r="AV74" i="30" s="1"/>
  <c r="BD29" i="30"/>
  <c r="BL29" i="30"/>
  <c r="BB30" i="30"/>
  <c r="BJ30" i="30"/>
  <c r="BR30" i="30"/>
  <c r="BR75" i="30" s="1"/>
  <c r="BD87" i="32"/>
  <c r="BO87" i="32"/>
  <c r="CG87" i="32"/>
  <c r="CP87" i="32"/>
  <c r="CW88" i="32"/>
  <c r="CW90" i="32"/>
  <c r="AZ91" i="32"/>
  <c r="BL91" i="32"/>
  <c r="CC91" i="32"/>
  <c r="CO91" i="32"/>
  <c r="CX91" i="32"/>
  <c r="BB26" i="30"/>
  <c r="BJ26" i="30"/>
  <c r="BR26" i="30"/>
  <c r="BB28" i="30"/>
  <c r="BJ28" i="30"/>
  <c r="AV26" i="30"/>
  <c r="BD26" i="30"/>
  <c r="BD71" i="30" s="1"/>
  <c r="BL26" i="30"/>
  <c r="BJ29" i="30"/>
  <c r="BS72" i="30"/>
  <c r="BQ73" i="30"/>
  <c r="AZ26" i="30"/>
  <c r="BH26" i="30"/>
  <c r="BP26" i="30"/>
  <c r="AW27" i="30"/>
  <c r="AW72" i="30" s="1"/>
  <c r="BD27" i="30"/>
  <c r="BL27" i="30"/>
  <c r="AZ28" i="30"/>
  <c r="AZ73" i="30" s="1"/>
  <c r="BH28" i="30"/>
  <c r="BP28" i="30"/>
  <c r="AX29" i="30"/>
  <c r="BF29" i="30"/>
  <c r="BF63" i="30" s="1"/>
  <c r="BF109" i="30" s="1"/>
  <c r="BN29" i="30"/>
  <c r="AV30" i="30"/>
  <c r="AV75" i="30" s="1"/>
  <c r="BD30" i="30"/>
  <c r="BL30" i="30"/>
  <c r="BL75" i="30" s="1"/>
  <c r="AV87" i="32"/>
  <c r="BG87" i="32"/>
  <c r="BP87" i="32"/>
  <c r="CH87" i="32"/>
  <c r="AV88" i="32"/>
  <c r="BD89" i="32"/>
  <c r="BO89" i="32"/>
  <c r="CC89" i="32"/>
  <c r="CO89" i="32"/>
  <c r="AV90" i="32"/>
  <c r="BD91" i="32"/>
  <c r="BO91" i="32"/>
  <c r="CG91" i="32"/>
  <c r="X246" i="31"/>
  <c r="F77" i="29"/>
  <c r="AX99" i="30"/>
  <c r="BB99" i="30"/>
  <c r="BB100" i="30" s="1"/>
  <c r="BB101" i="30" s="1"/>
  <c r="BF99" i="30"/>
  <c r="BJ99" i="30"/>
  <c r="BN99" i="30"/>
  <c r="BR99" i="30"/>
  <c r="BR100" i="30" s="1"/>
  <c r="BR101" i="30" s="1"/>
  <c r="X240" i="31"/>
  <c r="X30" i="31"/>
  <c r="X29" i="31"/>
  <c r="X32" i="31"/>
  <c r="AJ27" i="31" s="1"/>
  <c r="AC29" i="28"/>
  <c r="BG93" i="31"/>
  <c r="AU93" i="31"/>
  <c r="AE93" i="31"/>
  <c r="BS93" i="31"/>
  <c r="AY93" i="31"/>
  <c r="AM93" i="31"/>
  <c r="BD93" i="31"/>
  <c r="BU99" i="31"/>
  <c r="BO99" i="31"/>
  <c r="BF99" i="31"/>
  <c r="AX99" i="31"/>
  <c r="AP99" i="31"/>
  <c r="AH99" i="31"/>
  <c r="BS99" i="31"/>
  <c r="BJ99" i="31"/>
  <c r="BB99" i="31"/>
  <c r="AT99" i="31"/>
  <c r="AL99" i="31"/>
  <c r="AD99" i="31"/>
  <c r="AQ99" i="31"/>
  <c r="BG99" i="31"/>
  <c r="U170" i="31"/>
  <c r="K69" i="29"/>
  <c r="K71" i="29"/>
  <c r="K73" i="29"/>
  <c r="K75" i="29"/>
  <c r="K77" i="29"/>
  <c r="AA24" i="28"/>
  <c r="Y29" i="28"/>
  <c r="AA32" i="28"/>
  <c r="CD99" i="30"/>
  <c r="CH99" i="30"/>
  <c r="CL99" i="30"/>
  <c r="CP99" i="30"/>
  <c r="CP100" i="30" s="1"/>
  <c r="CP101" i="30" s="1"/>
  <c r="CT99" i="30"/>
  <c r="CX99" i="30"/>
  <c r="BO91" i="31"/>
  <c r="BD91" i="31"/>
  <c r="AR91" i="31"/>
  <c r="AI91" i="31"/>
  <c r="BT91" i="31"/>
  <c r="BH91" i="31"/>
  <c r="AY91" i="31"/>
  <c r="AN91" i="31"/>
  <c r="AB91" i="31"/>
  <c r="AV91" i="31"/>
  <c r="BP91" i="31"/>
  <c r="AI93" i="31"/>
  <c r="BK93" i="31"/>
  <c r="AI97" i="31"/>
  <c r="AY97" i="31"/>
  <c r="BO97" i="31"/>
  <c r="AE99" i="31"/>
  <c r="AU99" i="31"/>
  <c r="BK99" i="31"/>
  <c r="AW100" i="31"/>
  <c r="AB100" i="31"/>
  <c r="AP103" i="31"/>
  <c r="BV103" i="31"/>
  <c r="AF172" i="31"/>
  <c r="AG172" i="31"/>
  <c r="U172" i="31"/>
  <c r="V179" i="31"/>
  <c r="AA179" i="31"/>
  <c r="AA189" i="31"/>
  <c r="V193" i="31"/>
  <c r="AA193" i="31"/>
  <c r="AA205" i="31"/>
  <c r="AJ205" i="31"/>
  <c r="AA213" i="31"/>
  <c r="V213" i="31"/>
  <c r="AA217" i="31"/>
  <c r="V217" i="31"/>
  <c r="AA221" i="31"/>
  <c r="AJ221" i="31"/>
  <c r="AA225" i="31"/>
  <c r="AG225" i="31"/>
  <c r="Z68" i="29"/>
  <c r="V68" i="29"/>
  <c r="R68" i="29"/>
  <c r="N68" i="29"/>
  <c r="J68" i="29"/>
  <c r="Y68" i="29"/>
  <c r="T68" i="29"/>
  <c r="O68" i="29"/>
  <c r="I68" i="29"/>
  <c r="E68" i="29"/>
  <c r="X68" i="29"/>
  <c r="S68" i="29"/>
  <c r="M68" i="29"/>
  <c r="H68" i="29"/>
  <c r="D68" i="29"/>
  <c r="W68" i="29"/>
  <c r="Q68" i="29"/>
  <c r="L68" i="29"/>
  <c r="G68" i="29"/>
  <c r="C68" i="29"/>
  <c r="Q69" i="29"/>
  <c r="Z70" i="29"/>
  <c r="V70" i="29"/>
  <c r="R70" i="29"/>
  <c r="N70" i="29"/>
  <c r="J70" i="29"/>
  <c r="F70" i="29"/>
  <c r="Y70" i="29"/>
  <c r="T70" i="29"/>
  <c r="O70" i="29"/>
  <c r="I70" i="29"/>
  <c r="D70" i="29"/>
  <c r="X70" i="29"/>
  <c r="S70" i="29"/>
  <c r="M70" i="29"/>
  <c r="H70" i="29"/>
  <c r="C70" i="29"/>
  <c r="W70" i="29"/>
  <c r="Q70" i="29"/>
  <c r="L70" i="29"/>
  <c r="G70" i="29"/>
  <c r="Q71" i="29"/>
  <c r="Z72" i="29"/>
  <c r="V72" i="29"/>
  <c r="R72" i="29"/>
  <c r="N72" i="29"/>
  <c r="J72" i="29"/>
  <c r="F72" i="29"/>
  <c r="Y72" i="29"/>
  <c r="T72" i="29"/>
  <c r="O72" i="29"/>
  <c r="I72" i="29"/>
  <c r="D72" i="29"/>
  <c r="X72" i="29"/>
  <c r="S72" i="29"/>
  <c r="M72" i="29"/>
  <c r="H72" i="29"/>
  <c r="C72" i="29"/>
  <c r="W72" i="29"/>
  <c r="Q72" i="29"/>
  <c r="L72" i="29"/>
  <c r="G72" i="29"/>
  <c r="Q73" i="29"/>
  <c r="Z74" i="29"/>
  <c r="V74" i="29"/>
  <c r="R74" i="29"/>
  <c r="N74" i="29"/>
  <c r="J74" i="29"/>
  <c r="F74" i="29"/>
  <c r="Y74" i="29"/>
  <c r="T74" i="29"/>
  <c r="O74" i="29"/>
  <c r="I74" i="29"/>
  <c r="D74" i="29"/>
  <c r="X74" i="29"/>
  <c r="S74" i="29"/>
  <c r="M74" i="29"/>
  <c r="H74" i="29"/>
  <c r="C74" i="29"/>
  <c r="W74" i="29"/>
  <c r="Q74" i="29"/>
  <c r="L74" i="29"/>
  <c r="G74" i="29"/>
  <c r="Q75" i="29"/>
  <c r="Z76" i="29"/>
  <c r="V76" i="29"/>
  <c r="R76" i="29"/>
  <c r="N76" i="29"/>
  <c r="J76" i="29"/>
  <c r="F76" i="29"/>
  <c r="Y76" i="29"/>
  <c r="T76" i="29"/>
  <c r="O76" i="29"/>
  <c r="I76" i="29"/>
  <c r="D76" i="29"/>
  <c r="X76" i="29"/>
  <c r="S76" i="29"/>
  <c r="M76" i="29"/>
  <c r="H76" i="29"/>
  <c r="C76" i="29"/>
  <c r="W76" i="29"/>
  <c r="Q76" i="29"/>
  <c r="L76" i="29"/>
  <c r="G76" i="29"/>
  <c r="Q77" i="29"/>
  <c r="W29" i="28"/>
  <c r="T2" i="29"/>
  <c r="AC24" i="28"/>
  <c r="AA29" i="28"/>
  <c r="AC32" i="28"/>
  <c r="D2" i="29"/>
  <c r="AV99" i="30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BP100" i="30" s="1"/>
  <c r="BP101" i="30" s="1"/>
  <c r="DH99" i="30"/>
  <c r="DL99" i="30"/>
  <c r="DP99" i="30"/>
  <c r="DT99" i="30"/>
  <c r="DX99" i="30"/>
  <c r="DX100" i="30" s="1"/>
  <c r="DX101" i="30" s="1"/>
  <c r="EB99" i="30"/>
  <c r="AF91" i="31"/>
  <c r="AZ91" i="31"/>
  <c r="AN93" i="31"/>
  <c r="BT93" i="31"/>
  <c r="BH96" i="31"/>
  <c r="AB96" i="31"/>
  <c r="AR96" i="31"/>
  <c r="AM97" i="31"/>
  <c r="BC97" i="31"/>
  <c r="AI99" i="31"/>
  <c r="AY99" i="31"/>
  <c r="BR99" i="31"/>
  <c r="AJ100" i="31"/>
  <c r="K68" i="29"/>
  <c r="K70" i="29"/>
  <c r="K72" i="29"/>
  <c r="K74" i="29"/>
  <c r="K76" i="29"/>
  <c r="AV93" i="31"/>
  <c r="BU97" i="31"/>
  <c r="BR97" i="31"/>
  <c r="BJ97" i="31"/>
  <c r="BB97" i="31"/>
  <c r="AT97" i="31"/>
  <c r="AL97" i="31"/>
  <c r="AD97" i="31"/>
  <c r="BV97" i="31"/>
  <c r="BN97" i="31"/>
  <c r="BF97" i="31"/>
  <c r="AX97" i="31"/>
  <c r="AP97" i="31"/>
  <c r="AH97" i="31"/>
  <c r="AQ97" i="31"/>
  <c r="BG97" i="31"/>
  <c r="AM99" i="31"/>
  <c r="BC99" i="31"/>
  <c r="BV99" i="31"/>
  <c r="BU103" i="31"/>
  <c r="BR103" i="31"/>
  <c r="BB103" i="31"/>
  <c r="AL103" i="31"/>
  <c r="BJ103" i="31"/>
  <c r="AT103" i="31"/>
  <c r="AD103" i="31"/>
  <c r="BF103" i="31"/>
  <c r="BT104" i="31"/>
  <c r="AF104" i="31"/>
  <c r="AV104" i="31"/>
  <c r="AG198" i="31"/>
  <c r="AF198" i="31"/>
  <c r="X69" i="29"/>
  <c r="T69" i="29"/>
  <c r="P69" i="29"/>
  <c r="L69" i="29"/>
  <c r="H69" i="29"/>
  <c r="D69" i="29"/>
  <c r="Z69" i="29"/>
  <c r="U69" i="29"/>
  <c r="O69" i="29"/>
  <c r="J69" i="29"/>
  <c r="E69" i="29"/>
  <c r="Y69" i="29"/>
  <c r="S69" i="29"/>
  <c r="N69" i="29"/>
  <c r="I69" i="29"/>
  <c r="C69" i="29"/>
  <c r="W69" i="29"/>
  <c r="R69" i="29"/>
  <c r="M69" i="29"/>
  <c r="G69" i="29"/>
  <c r="X71" i="29"/>
  <c r="T71" i="29"/>
  <c r="P71" i="29"/>
  <c r="P15" i="29" s="1"/>
  <c r="L71" i="29"/>
  <c r="H71" i="29"/>
  <c r="D71" i="29"/>
  <c r="Z71" i="29"/>
  <c r="U71" i="29"/>
  <c r="O71" i="29"/>
  <c r="J71" i="29"/>
  <c r="E71" i="29"/>
  <c r="Y71" i="29"/>
  <c r="S71" i="29"/>
  <c r="N71" i="29"/>
  <c r="I71" i="29"/>
  <c r="C71" i="29"/>
  <c r="W71" i="29"/>
  <c r="R71" i="29"/>
  <c r="M71" i="29"/>
  <c r="G71" i="29"/>
  <c r="X73" i="29"/>
  <c r="T73" i="29"/>
  <c r="P73" i="29"/>
  <c r="L73" i="29"/>
  <c r="H73" i="29"/>
  <c r="D73" i="29"/>
  <c r="Z73" i="29"/>
  <c r="U73" i="29"/>
  <c r="O73" i="29"/>
  <c r="J73" i="29"/>
  <c r="E73" i="29"/>
  <c r="Y73" i="29"/>
  <c r="S73" i="29"/>
  <c r="N73" i="29"/>
  <c r="I73" i="29"/>
  <c r="C73" i="29"/>
  <c r="W73" i="29"/>
  <c r="R73" i="29"/>
  <c r="M73" i="29"/>
  <c r="G73" i="29"/>
  <c r="X75" i="29"/>
  <c r="T75" i="29"/>
  <c r="P75" i="29"/>
  <c r="L75" i="29"/>
  <c r="H75" i="29"/>
  <c r="D75" i="29"/>
  <c r="Z75" i="29"/>
  <c r="U75" i="29"/>
  <c r="O75" i="29"/>
  <c r="J75" i="29"/>
  <c r="E75" i="29"/>
  <c r="Y75" i="29"/>
  <c r="S75" i="29"/>
  <c r="N75" i="29"/>
  <c r="I75" i="29"/>
  <c r="C75" i="29"/>
  <c r="W75" i="29"/>
  <c r="R75" i="29"/>
  <c r="M75" i="29"/>
  <c r="G75" i="29"/>
  <c r="X77" i="29"/>
  <c r="T77" i="29"/>
  <c r="P77" i="29"/>
  <c r="L77" i="29"/>
  <c r="H77" i="29"/>
  <c r="D77" i="29"/>
  <c r="Z77" i="29"/>
  <c r="U77" i="29"/>
  <c r="O77" i="29"/>
  <c r="J77" i="29"/>
  <c r="E77" i="29"/>
  <c r="Y77" i="29"/>
  <c r="S77" i="29"/>
  <c r="N77" i="29"/>
  <c r="I77" i="29"/>
  <c r="C77" i="29"/>
  <c r="W77" i="29"/>
  <c r="R77" i="29"/>
  <c r="M77" i="29"/>
  <c r="G77" i="29"/>
  <c r="Y115" i="29"/>
  <c r="U115" i="29"/>
  <c r="Q115" i="29"/>
  <c r="M115" i="29"/>
  <c r="I115" i="29"/>
  <c r="E115" i="29"/>
  <c r="X115" i="29"/>
  <c r="T115" i="29"/>
  <c r="P115" i="29"/>
  <c r="L115" i="29"/>
  <c r="H115" i="29"/>
  <c r="D115" i="29"/>
  <c r="Z115" i="29"/>
  <c r="R115" i="29"/>
  <c r="J115" i="29"/>
  <c r="W115" i="29"/>
  <c r="O115" i="29"/>
  <c r="G115" i="29"/>
  <c r="V115" i="29"/>
  <c r="N115" i="29"/>
  <c r="F115" i="29"/>
  <c r="S115" i="29"/>
  <c r="K115" i="29"/>
  <c r="C115" i="29"/>
  <c r="AQ89" i="31"/>
  <c r="AO92" i="31"/>
  <c r="BD98" i="31"/>
  <c r="AP105" i="31"/>
  <c r="BF105" i="31"/>
  <c r="BV105" i="31"/>
  <c r="AO107" i="31"/>
  <c r="BU107" i="31"/>
  <c r="AA180" i="31"/>
  <c r="AJ182" i="31"/>
  <c r="AA190" i="31"/>
  <c r="AA194" i="31"/>
  <c r="AB198" i="31"/>
  <c r="AB202" i="31"/>
  <c r="AC206" i="31"/>
  <c r="AB218" i="31"/>
  <c r="Y155" i="29"/>
  <c r="Y61" i="29" s="1"/>
  <c r="Y48" i="29" s="1"/>
  <c r="Y55" i="29" s="1"/>
  <c r="U155" i="29"/>
  <c r="Q155" i="29"/>
  <c r="M155" i="29"/>
  <c r="I155" i="29"/>
  <c r="E155" i="29"/>
  <c r="X155" i="29"/>
  <c r="T155" i="29"/>
  <c r="P155" i="29"/>
  <c r="L155" i="29"/>
  <c r="H155" i="29"/>
  <c r="H58" i="29" s="1"/>
  <c r="D155" i="29"/>
  <c r="Z155" i="29"/>
  <c r="R155" i="29"/>
  <c r="J155" i="29"/>
  <c r="W155" i="29"/>
  <c r="O155" i="29"/>
  <c r="G155" i="29"/>
  <c r="V155" i="29"/>
  <c r="N155" i="29"/>
  <c r="F155" i="29"/>
  <c r="S155" i="29"/>
  <c r="K155" i="29"/>
  <c r="C155" i="29"/>
  <c r="BG89" i="31"/>
  <c r="BJ92" i="31"/>
  <c r="BE107" i="3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Y117" i="29"/>
  <c r="U117" i="29"/>
  <c r="Q117" i="29"/>
  <c r="M117" i="29"/>
  <c r="I117" i="29"/>
  <c r="E117" i="29"/>
  <c r="X117" i="29"/>
  <c r="T117" i="29"/>
  <c r="P117" i="29"/>
  <c r="L117" i="29"/>
  <c r="H117" i="29"/>
  <c r="D117" i="29"/>
  <c r="Z117" i="29"/>
  <c r="R117" i="29"/>
  <c r="J117" i="29"/>
  <c r="W117" i="29"/>
  <c r="O117" i="29"/>
  <c r="G117" i="29"/>
  <c r="V117" i="29"/>
  <c r="N117" i="29"/>
  <c r="F117" i="29"/>
  <c r="Y111" i="29"/>
  <c r="U111" i="29"/>
  <c r="Y113" i="29"/>
  <c r="U113" i="29"/>
  <c r="Q113" i="29"/>
  <c r="M113" i="29"/>
  <c r="I113" i="29"/>
  <c r="E113" i="29"/>
  <c r="X113" i="29"/>
  <c r="T113" i="29"/>
  <c r="P113" i="29"/>
  <c r="L113" i="29"/>
  <c r="H113" i="29"/>
  <c r="D113" i="29"/>
  <c r="Y119" i="29"/>
  <c r="U119" i="29"/>
  <c r="Q119" i="29"/>
  <c r="M119" i="29"/>
  <c r="I119" i="29"/>
  <c r="E119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L62" i="29" s="1"/>
  <c r="L63" i="29" s="1"/>
  <c r="L49" i="29" s="1"/>
  <c r="H153" i="29"/>
  <c r="D153" i="29"/>
  <c r="Z153" i="29"/>
  <c r="R153" i="29"/>
  <c r="J153" i="29"/>
  <c r="W153" i="29"/>
  <c r="O153" i="29"/>
  <c r="G153" i="29"/>
  <c r="V153" i="29"/>
  <c r="N153" i="29"/>
  <c r="F153" i="29"/>
  <c r="D110" i="29"/>
  <c r="H110" i="29"/>
  <c r="L110" i="29"/>
  <c r="P110" i="29"/>
  <c r="T110" i="29"/>
  <c r="X110" i="29"/>
  <c r="F111" i="29"/>
  <c r="J111" i="29"/>
  <c r="N111" i="29"/>
  <c r="R111" i="29"/>
  <c r="W111" i="29"/>
  <c r="F113" i="29"/>
  <c r="N113" i="29"/>
  <c r="V113" i="29"/>
  <c r="F119" i="29"/>
  <c r="N119" i="29"/>
  <c r="V119" i="29"/>
  <c r="C153" i="29"/>
  <c r="E110" i="29"/>
  <c r="I110" i="29"/>
  <c r="M110" i="29"/>
  <c r="Q110" i="29"/>
  <c r="U110" i="29"/>
  <c r="C111" i="29"/>
  <c r="G111" i="29"/>
  <c r="K111" i="29"/>
  <c r="O111" i="29"/>
  <c r="S111" i="29"/>
  <c r="X111" i="29"/>
  <c r="G113" i="29"/>
  <c r="O113" i="29"/>
  <c r="W113" i="29"/>
  <c r="G119" i="29"/>
  <c r="O119" i="29"/>
  <c r="W119" i="29"/>
  <c r="K153" i="29"/>
  <c r="R118" i="29"/>
  <c r="V118" i="29"/>
  <c r="Z157" i="29"/>
  <c r="Y157" i="29"/>
  <c r="U157" i="29"/>
  <c r="E157" i="29"/>
  <c r="I157" i="29"/>
  <c r="M157" i="29"/>
  <c r="Q157" i="29"/>
  <c r="V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J159" i="29"/>
  <c r="N159" i="29"/>
  <c r="N59" i="29" s="1"/>
  <c r="R159" i="29"/>
  <c r="V159" i="29"/>
  <c r="F161" i="29"/>
  <c r="J161" i="29"/>
  <c r="N161" i="29"/>
  <c r="R161" i="29"/>
  <c r="V161" i="29"/>
  <c r="T162" i="29"/>
  <c r="C182" i="32"/>
  <c r="D182" i="32" s="1"/>
  <c r="AJ215" i="32" s="1"/>
  <c r="X271" i="31"/>
  <c r="X233" i="31"/>
  <c r="C306" i="32" s="1"/>
  <c r="Z26" i="28"/>
  <c r="Y26" i="28"/>
  <c r="W26" i="28"/>
  <c r="AC26" i="28"/>
  <c r="AB26" i="28"/>
  <c r="X26" i="28"/>
  <c r="AA26" i="28"/>
  <c r="AB25" i="28"/>
  <c r="X25" i="28"/>
  <c r="AA25" i="28"/>
  <c r="W25" i="28"/>
  <c r="AC25" i="28"/>
  <c r="Z25" i="28"/>
  <c r="Y25" i="28"/>
  <c r="AB27" i="28"/>
  <c r="X27" i="28"/>
  <c r="W27" i="28"/>
  <c r="AA27" i="28"/>
  <c r="Y27" i="28"/>
  <c r="Z27" i="28"/>
  <c r="AC27" i="28"/>
  <c r="AA30" i="28"/>
  <c r="W30" i="28"/>
  <c r="Z30" i="28"/>
  <c r="X30" i="28"/>
  <c r="AB30" i="28"/>
  <c r="AC30" i="28"/>
  <c r="Y30" i="28"/>
  <c r="AA33" i="28"/>
  <c r="W33" i="28"/>
  <c r="Z33" i="28"/>
  <c r="AB33" i="28"/>
  <c r="AC33" i="28"/>
  <c r="Y33" i="28"/>
  <c r="X33" i="28"/>
  <c r="AC168" i="28"/>
  <c r="AC172" i="28"/>
  <c r="AC184" i="28"/>
  <c r="W203" i="28"/>
  <c r="E20" i="29"/>
  <c r="E21" i="29" s="1"/>
  <c r="E7" i="29" s="1"/>
  <c r="E12" i="29" s="1"/>
  <c r="E5" i="29"/>
  <c r="E9" i="29" s="1"/>
  <c r="E3" i="29"/>
  <c r="I20" i="29"/>
  <c r="I21" i="29" s="1"/>
  <c r="I7" i="29" s="1"/>
  <c r="I12" i="29" s="1"/>
  <c r="I5" i="29"/>
  <c r="I9" i="29" s="1"/>
  <c r="I3" i="29"/>
  <c r="M20" i="29"/>
  <c r="M21" i="29" s="1"/>
  <c r="M7" i="29" s="1"/>
  <c r="M12" i="29" s="1"/>
  <c r="M5" i="29"/>
  <c r="M9" i="29" s="1"/>
  <c r="M3" i="29"/>
  <c r="Q20" i="29"/>
  <c r="Q21" i="29" s="1"/>
  <c r="Q7" i="29" s="1"/>
  <c r="Q12" i="29" s="1"/>
  <c r="Q5" i="29"/>
  <c r="Q9" i="29" s="1"/>
  <c r="Q3" i="29"/>
  <c r="U20" i="29"/>
  <c r="U21" i="29" s="1"/>
  <c r="U7" i="29" s="1"/>
  <c r="U12" i="29" s="1"/>
  <c r="U5" i="29"/>
  <c r="U9" i="29" s="1"/>
  <c r="U3" i="29"/>
  <c r="Y20" i="29"/>
  <c r="Y21" i="29" s="1"/>
  <c r="Y7" i="29" s="1"/>
  <c r="Y12" i="29" s="1"/>
  <c r="Y5" i="29"/>
  <c r="Y9" i="29" s="1"/>
  <c r="Y3" i="29"/>
  <c r="Y62" i="29"/>
  <c r="Y63" i="29" s="1"/>
  <c r="Y49" i="29" s="1"/>
  <c r="Y59" i="29"/>
  <c r="DC107" i="30"/>
  <c r="DC72" i="30"/>
  <c r="DC109" i="30"/>
  <c r="DC74" i="30"/>
  <c r="AY76" i="30"/>
  <c r="AY65" i="30"/>
  <c r="AY111" i="30" s="1"/>
  <c r="BC76" i="30"/>
  <c r="BC65" i="30"/>
  <c r="BC111" i="30" s="1"/>
  <c r="BG76" i="30"/>
  <c r="BG65" i="30"/>
  <c r="BG111" i="30" s="1"/>
  <c r="BK76" i="30"/>
  <c r="BK65" i="30"/>
  <c r="BK111" i="30" s="1"/>
  <c r="BO76" i="30"/>
  <c r="BO65" i="30"/>
  <c r="BO111" i="30" s="1"/>
  <c r="BS76" i="30"/>
  <c r="BS65" i="30"/>
  <c r="BS111" i="30" s="1"/>
  <c r="CD76" i="30"/>
  <c r="CD65" i="30"/>
  <c r="CH76" i="30"/>
  <c r="CH65" i="30"/>
  <c r="CL76" i="30"/>
  <c r="CL65" i="30"/>
  <c r="CP76" i="30"/>
  <c r="CP65" i="30"/>
  <c r="CT76" i="30"/>
  <c r="CT65" i="30"/>
  <c r="CX76" i="30"/>
  <c r="CX84" i="30" s="1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W78" i="30"/>
  <c r="AW67" i="30"/>
  <c r="BA78" i="30"/>
  <c r="BA67" i="30"/>
  <c r="BE78" i="30"/>
  <c r="BE67" i="30"/>
  <c r="BI78" i="30"/>
  <c r="BI67" i="30"/>
  <c r="BM78" i="30"/>
  <c r="BM67" i="30"/>
  <c r="BQ78" i="30"/>
  <c r="BQ67" i="30"/>
  <c r="CB78" i="30"/>
  <c r="CB67" i="30"/>
  <c r="CF78" i="30"/>
  <c r="CF67" i="30"/>
  <c r="CJ78" i="30"/>
  <c r="CJ67" i="30"/>
  <c r="CN78" i="30"/>
  <c r="CN67" i="30"/>
  <c r="CR78" i="30"/>
  <c r="CR67" i="30"/>
  <c r="CV78" i="30"/>
  <c r="CV67" i="30"/>
  <c r="DH78" i="30"/>
  <c r="DH67" i="30"/>
  <c r="DL78" i="30"/>
  <c r="DL83" i="30" s="1"/>
  <c r="DL67" i="30"/>
  <c r="DP78" i="30"/>
  <c r="DP67" i="30"/>
  <c r="DT78" i="30"/>
  <c r="DT67" i="30"/>
  <c r="DX78" i="30"/>
  <c r="DX67" i="30"/>
  <c r="EB78" i="30"/>
  <c r="EB81" i="30" s="1"/>
  <c r="EB67" i="30"/>
  <c r="AX79" i="30"/>
  <c r="AX68" i="30"/>
  <c r="BB79" i="30"/>
  <c r="BB68" i="30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80" i="30"/>
  <c r="AY69" i="30"/>
  <c r="BC80" i="30"/>
  <c r="BC69" i="30"/>
  <c r="BG80" i="30"/>
  <c r="BG69" i="30"/>
  <c r="BK80" i="30"/>
  <c r="BK69" i="30"/>
  <c r="BO80" i="30"/>
  <c r="BO69" i="30"/>
  <c r="BS80" i="30"/>
  <c r="BS69" i="30"/>
  <c r="CD80" i="30"/>
  <c r="CD69" i="30"/>
  <c r="CH80" i="30"/>
  <c r="CH69" i="30"/>
  <c r="CL80" i="30"/>
  <c r="CL69" i="30"/>
  <c r="CP80" i="30"/>
  <c r="CP69" i="30"/>
  <c r="CT80" i="30"/>
  <c r="CT69" i="30"/>
  <c r="CX80" i="30"/>
  <c r="CX69" i="30"/>
  <c r="DF80" i="30"/>
  <c r="DF69" i="30"/>
  <c r="DJ80" i="30"/>
  <c r="DJ69" i="30"/>
  <c r="DN80" i="30"/>
  <c r="DN69" i="30"/>
  <c r="DR80" i="30"/>
  <c r="DR69" i="30"/>
  <c r="DV80" i="30"/>
  <c r="DV69" i="30"/>
  <c r="DZ80" i="30"/>
  <c r="DZ82" i="30" s="1"/>
  <c r="DZ69" i="30"/>
  <c r="C10" i="32"/>
  <c r="D10" i="32" s="1"/>
  <c r="Z28" i="28"/>
  <c r="Z31" i="28"/>
  <c r="AJ178" i="28"/>
  <c r="AA199" i="28"/>
  <c r="AA207" i="28"/>
  <c r="X24" i="28"/>
  <c r="AB24" i="28"/>
  <c r="W28" i="28"/>
  <c r="AA28" i="28"/>
  <c r="X29" i="28"/>
  <c r="AB29" i="28"/>
  <c r="W31" i="28"/>
  <c r="AA31" i="28"/>
  <c r="X32" i="28"/>
  <c r="AB32" i="28"/>
  <c r="C22" i="32"/>
  <c r="D22" i="32" s="1"/>
  <c r="T254" i="31"/>
  <c r="K72" i="28"/>
  <c r="C40" i="32" s="1"/>
  <c r="D40" i="32" s="1"/>
  <c r="AA173" i="28"/>
  <c r="AB173" i="28"/>
  <c r="AB174" i="28"/>
  <c r="V175" i="28"/>
  <c r="AA177" i="28"/>
  <c r="AB177" i="28"/>
  <c r="U178" i="28"/>
  <c r="AB178" i="28"/>
  <c r="AG178" i="28"/>
  <c r="AA181" i="28"/>
  <c r="AB181" i="28"/>
  <c r="AB182" i="28"/>
  <c r="V183" i="28"/>
  <c r="AA185" i="28"/>
  <c r="AB185" i="28"/>
  <c r="AB190" i="28"/>
  <c r="V191" i="28"/>
  <c r="AA193" i="28"/>
  <c r="AB193" i="28"/>
  <c r="AB194" i="28"/>
  <c r="V195" i="28"/>
  <c r="AC199" i="28"/>
  <c r="AA201" i="28"/>
  <c r="AB202" i="28"/>
  <c r="AC207" i="28"/>
  <c r="F3" i="29"/>
  <c r="N3" i="29"/>
  <c r="V3" i="29"/>
  <c r="C4" i="29"/>
  <c r="H5" i="29"/>
  <c r="H9" i="29" s="1"/>
  <c r="P5" i="29"/>
  <c r="P9" i="29" s="1"/>
  <c r="X5" i="29"/>
  <c r="X9" i="29" s="1"/>
  <c r="C183" i="32"/>
  <c r="T234" i="31"/>
  <c r="T272" i="31" s="1"/>
  <c r="B83" i="30"/>
  <c r="Y57" i="29"/>
  <c r="Y58" i="29"/>
  <c r="AV71" i="30"/>
  <c r="AV60" i="30"/>
  <c r="AV106" i="30" s="1"/>
  <c r="AZ71" i="30"/>
  <c r="AZ60" i="30"/>
  <c r="AZ106" i="30" s="1"/>
  <c r="BH71" i="30"/>
  <c r="BH60" i="30"/>
  <c r="BH106" i="30" s="1"/>
  <c r="BL71" i="30"/>
  <c r="BL60" i="30"/>
  <c r="BL106" i="30" s="1"/>
  <c r="BP71" i="30"/>
  <c r="BP60" i="30"/>
  <c r="BP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61" i="30"/>
  <c r="AX107" i="30" s="1"/>
  <c r="BB72" i="30"/>
  <c r="BB61" i="30"/>
  <c r="BB107" i="30" s="1"/>
  <c r="BF61" i="30"/>
  <c r="BF107" i="30" s="1"/>
  <c r="BF72" i="30"/>
  <c r="BJ61" i="30"/>
  <c r="BJ107" i="30" s="1"/>
  <c r="BJ72" i="30"/>
  <c r="BN61" i="30"/>
  <c r="BN107" i="30" s="1"/>
  <c r="BN72" i="30"/>
  <c r="BR61" i="30"/>
  <c r="BR107" i="30" s="1"/>
  <c r="CC61" i="30"/>
  <c r="CC72" i="30"/>
  <c r="CG61" i="30"/>
  <c r="CG72" i="30"/>
  <c r="CK61" i="30"/>
  <c r="CK72" i="30"/>
  <c r="CO72" i="30"/>
  <c r="CO61" i="30"/>
  <c r="CS61" i="30"/>
  <c r="CS72" i="30"/>
  <c r="CW61" i="30"/>
  <c r="CW72" i="30"/>
  <c r="DE61" i="30"/>
  <c r="DE72" i="30"/>
  <c r="DI72" i="30"/>
  <c r="DI61" i="30"/>
  <c r="DM61" i="30"/>
  <c r="DM72" i="30"/>
  <c r="DQ61" i="30"/>
  <c r="DQ72" i="30"/>
  <c r="DU61" i="30"/>
  <c r="DU72" i="30"/>
  <c r="DY72" i="30"/>
  <c r="DY61" i="30"/>
  <c r="AV73" i="30"/>
  <c r="AV62" i="30"/>
  <c r="AV108" i="30" s="1"/>
  <c r="AZ62" i="30"/>
  <c r="AZ108" i="30" s="1"/>
  <c r="BD73" i="30"/>
  <c r="BD62" i="30"/>
  <c r="BD108" i="30" s="1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X74" i="30"/>
  <c r="AX63" i="30"/>
  <c r="AX109" i="30" s="1"/>
  <c r="BB74" i="30"/>
  <c r="BB63" i="30"/>
  <c r="BB109" i="30" s="1"/>
  <c r="BF74" i="30"/>
  <c r="BJ74" i="30"/>
  <c r="BJ63" i="30"/>
  <c r="BJ109" i="30" s="1"/>
  <c r="BN74" i="30"/>
  <c r="BN63" i="30"/>
  <c r="BN109" i="30" s="1"/>
  <c r="BR63" i="30"/>
  <c r="BR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75" i="30"/>
  <c r="AY64" i="30"/>
  <c r="AY110" i="30" s="1"/>
  <c r="BC75" i="30"/>
  <c r="BC64" i="30"/>
  <c r="BC110" i="30" s="1"/>
  <c r="BG75" i="30"/>
  <c r="BG64" i="30"/>
  <c r="BG110" i="30" s="1"/>
  <c r="BK75" i="30"/>
  <c r="BK64" i="30"/>
  <c r="BK110" i="30" s="1"/>
  <c r="BS64" i="30"/>
  <c r="BS110" i="30" s="1"/>
  <c r="CD75" i="30"/>
  <c r="CD64" i="30"/>
  <c r="CH75" i="30"/>
  <c r="CH84" i="30" s="1"/>
  <c r="CH64" i="30"/>
  <c r="CL75" i="30"/>
  <c r="CL64" i="30"/>
  <c r="CP75" i="30"/>
  <c r="CP64" i="30"/>
  <c r="CT75" i="30"/>
  <c r="CT64" i="30"/>
  <c r="CX75" i="30"/>
  <c r="CX64" i="30"/>
  <c r="DF75" i="30"/>
  <c r="DF64" i="30"/>
  <c r="DJ75" i="30"/>
  <c r="DJ64" i="30"/>
  <c r="DN75" i="30"/>
  <c r="DN64" i="30"/>
  <c r="DR75" i="30"/>
  <c r="DR64" i="30"/>
  <c r="DV75" i="30"/>
  <c r="DV64" i="30"/>
  <c r="DZ75" i="30"/>
  <c r="DZ64" i="30"/>
  <c r="AW77" i="30"/>
  <c r="AW66" i="30"/>
  <c r="AW112" i="30" s="1"/>
  <c r="BA77" i="30"/>
  <c r="BA66" i="30"/>
  <c r="BA112" i="30" s="1"/>
  <c r="BE77" i="30"/>
  <c r="BE66" i="30"/>
  <c r="BE112" i="30" s="1"/>
  <c r="BI77" i="30"/>
  <c r="BI66" i="30"/>
  <c r="BI112" i="30" s="1"/>
  <c r="BM77" i="30"/>
  <c r="BM66" i="30"/>
  <c r="BM112" i="30" s="1"/>
  <c r="BQ77" i="30"/>
  <c r="BQ66" i="30"/>
  <c r="BQ112" i="30" s="1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E69" i="30"/>
  <c r="CI80" i="30"/>
  <c r="CI69" i="30"/>
  <c r="CM80" i="30"/>
  <c r="CM69" i="30"/>
  <c r="CQ80" i="30"/>
  <c r="CQ69" i="30"/>
  <c r="CU80" i="30"/>
  <c r="CU69" i="30"/>
  <c r="CY80" i="30"/>
  <c r="CY69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AC176" i="28"/>
  <c r="AC196" i="28"/>
  <c r="AB200" i="28"/>
  <c r="AB28" i="28"/>
  <c r="AB31" i="28"/>
  <c r="H3" i="29"/>
  <c r="P3" i="29"/>
  <c r="X3" i="29"/>
  <c r="BF3" i="29"/>
  <c r="BK3" i="29" s="1"/>
  <c r="E4" i="29"/>
  <c r="M4" i="29"/>
  <c r="U4" i="29"/>
  <c r="J5" i="29"/>
  <c r="J9" i="29" s="1"/>
  <c r="R5" i="29"/>
  <c r="R9" i="29" s="1"/>
  <c r="Z5" i="29"/>
  <c r="Z9" i="29" s="1"/>
  <c r="H20" i="29"/>
  <c r="H21" i="29" s="1"/>
  <c r="H7" i="29" s="1"/>
  <c r="H12" i="29" s="1"/>
  <c r="P20" i="29"/>
  <c r="P21" i="29" s="1"/>
  <c r="P7" i="29" s="1"/>
  <c r="P12" i="29" s="1"/>
  <c r="X20" i="29"/>
  <c r="X21" i="29" s="1"/>
  <c r="X7" i="29" s="1"/>
  <c r="X12" i="29" s="1"/>
  <c r="C36" i="29"/>
  <c r="K36" i="29"/>
  <c r="C37" i="29"/>
  <c r="J15" i="29"/>
  <c r="C3" i="29"/>
  <c r="G3" i="29"/>
  <c r="K3" i="29"/>
  <c r="O3" i="29"/>
  <c r="S3" i="29"/>
  <c r="W3" i="29"/>
  <c r="F4" i="29"/>
  <c r="J4" i="29"/>
  <c r="N4" i="29"/>
  <c r="R4" i="29"/>
  <c r="V4" i="29"/>
  <c r="Z4" i="29"/>
  <c r="C38" i="29"/>
  <c r="E26" i="29"/>
  <c r="E25" i="29"/>
  <c r="I26" i="29"/>
  <c r="I25" i="29"/>
  <c r="M26" i="29"/>
  <c r="M25" i="29"/>
  <c r="Q26" i="29"/>
  <c r="Q25" i="29"/>
  <c r="U26" i="29"/>
  <c r="U25" i="29"/>
  <c r="Y26" i="29"/>
  <c r="Y25" i="29"/>
  <c r="DC106" i="30"/>
  <c r="DC71" i="30"/>
  <c r="BZ75" i="30"/>
  <c r="BZ110" i="30"/>
  <c r="AW76" i="30"/>
  <c r="AW65" i="30"/>
  <c r="AW111" i="30" s="1"/>
  <c r="BA76" i="30"/>
  <c r="BA65" i="30"/>
  <c r="BA111" i="30" s="1"/>
  <c r="BE76" i="30"/>
  <c r="BE65" i="30"/>
  <c r="BE111" i="30" s="1"/>
  <c r="BI76" i="30"/>
  <c r="BI65" i="30"/>
  <c r="BI111" i="30" s="1"/>
  <c r="BM76" i="30"/>
  <c r="BM65" i="30"/>
  <c r="BM111" i="30" s="1"/>
  <c r="BQ76" i="30"/>
  <c r="BQ65" i="30"/>
  <c r="BQ111" i="30" s="1"/>
  <c r="CB76" i="30"/>
  <c r="CB65" i="30"/>
  <c r="CF76" i="30"/>
  <c r="CF65" i="30"/>
  <c r="CJ76" i="30"/>
  <c r="CJ65" i="30"/>
  <c r="CN76" i="30"/>
  <c r="CN65" i="30"/>
  <c r="CR76" i="30"/>
  <c r="CR65" i="30"/>
  <c r="CV76" i="30"/>
  <c r="CV65" i="30"/>
  <c r="DC111" i="30"/>
  <c r="DC76" i="30"/>
  <c r="DH76" i="30"/>
  <c r="DH65" i="30"/>
  <c r="DL76" i="30"/>
  <c r="DL65" i="30"/>
  <c r="DP76" i="30"/>
  <c r="DP65" i="30"/>
  <c r="DT76" i="30"/>
  <c r="DT65" i="30"/>
  <c r="DX76" i="30"/>
  <c r="DX65" i="30"/>
  <c r="EB76" i="30"/>
  <c r="EB65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83" i="30" s="1"/>
  <c r="DV67" i="30"/>
  <c r="DZ78" i="30"/>
  <c r="DZ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C115" i="30"/>
  <c r="DC80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AF178" i="28"/>
  <c r="AC180" i="28"/>
  <c r="AC192" i="28"/>
  <c r="X28" i="28"/>
  <c r="X31" i="28"/>
  <c r="S228" i="28"/>
  <c r="AA165" i="28"/>
  <c r="AA167" i="28"/>
  <c r="AA175" i="28"/>
  <c r="AA176" i="28"/>
  <c r="V178" i="28"/>
  <c r="AA179" i="28"/>
  <c r="AA183" i="28"/>
  <c r="AD183" i="28" s="1"/>
  <c r="AH183" i="28" s="1"/>
  <c r="AA184" i="28"/>
  <c r="AA191" i="28"/>
  <c r="AA192" i="28"/>
  <c r="V194" i="28"/>
  <c r="AA195" i="28"/>
  <c r="AA203" i="28"/>
  <c r="AB204" i="28"/>
  <c r="C9" i="32"/>
  <c r="D9" i="32" s="1"/>
  <c r="Y28" i="28"/>
  <c r="Y31" i="28"/>
  <c r="K70" i="28"/>
  <c r="W174" i="28"/>
  <c r="AF175" i="28"/>
  <c r="W178" i="28"/>
  <c r="W182" i="28"/>
  <c r="AF183" i="28"/>
  <c r="AF191" i="28"/>
  <c r="AA197" i="28"/>
  <c r="AB198" i="28"/>
  <c r="AA205" i="28"/>
  <c r="AB206" i="28"/>
  <c r="J3" i="29"/>
  <c r="N72" i="30" s="1"/>
  <c r="R3" i="29"/>
  <c r="Z3" i="29"/>
  <c r="D5" i="29"/>
  <c r="D9" i="29" s="1"/>
  <c r="L5" i="29"/>
  <c r="L9" i="29" s="1"/>
  <c r="T5" i="29"/>
  <c r="T9" i="29" s="1"/>
  <c r="W37" i="29"/>
  <c r="W41" i="29"/>
  <c r="W42" i="29" s="1"/>
  <c r="W28" i="29" s="1"/>
  <c r="AX60" i="30"/>
  <c r="AX106" i="30" s="1"/>
  <c r="AX71" i="30"/>
  <c r="BB60" i="30"/>
  <c r="BB106" i="30" s="1"/>
  <c r="BB71" i="30"/>
  <c r="BJ71" i="30"/>
  <c r="BJ60" i="30"/>
  <c r="BJ106" i="30" s="1"/>
  <c r="BN60" i="30"/>
  <c r="BN106" i="30" s="1"/>
  <c r="BN71" i="30"/>
  <c r="BR60" i="30"/>
  <c r="BR106" i="30" s="1"/>
  <c r="BR71" i="30"/>
  <c r="CC60" i="30"/>
  <c r="CC71" i="30"/>
  <c r="CG71" i="30"/>
  <c r="CG60" i="30"/>
  <c r="CK60" i="30"/>
  <c r="CK71" i="30"/>
  <c r="CO60" i="30"/>
  <c r="CO71" i="30"/>
  <c r="CS60" i="30"/>
  <c r="CS71" i="30"/>
  <c r="CW71" i="30"/>
  <c r="CW60" i="30"/>
  <c r="DE60" i="30"/>
  <c r="DE71" i="30"/>
  <c r="DI60" i="30"/>
  <c r="DI71" i="30"/>
  <c r="DM60" i="30"/>
  <c r="DM71" i="30"/>
  <c r="DQ60" i="30"/>
  <c r="DQ71" i="30"/>
  <c r="DU71" i="30"/>
  <c r="DU60" i="30"/>
  <c r="DY60" i="30"/>
  <c r="DY71" i="30"/>
  <c r="AV72" i="30"/>
  <c r="AV61" i="30"/>
  <c r="AV107" i="30" s="1"/>
  <c r="AZ72" i="30"/>
  <c r="AZ61" i="30"/>
  <c r="AZ107" i="30" s="1"/>
  <c r="BD72" i="30"/>
  <c r="BD61" i="30"/>
  <c r="BD107" i="30" s="1"/>
  <c r="BL72" i="30"/>
  <c r="BL61" i="30"/>
  <c r="BL107" i="30" s="1"/>
  <c r="BP72" i="30"/>
  <c r="BP61" i="30"/>
  <c r="BP107" i="30" s="1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AX62" i="30"/>
  <c r="AX108" i="30" s="1"/>
  <c r="AX73" i="30"/>
  <c r="BB62" i="30"/>
  <c r="BB108" i="30" s="1"/>
  <c r="BB73" i="30"/>
  <c r="BF73" i="30"/>
  <c r="BF62" i="30"/>
  <c r="BF108" i="30" s="1"/>
  <c r="BJ62" i="30"/>
  <c r="BJ108" i="30" s="1"/>
  <c r="BJ73" i="30"/>
  <c r="BR62" i="30"/>
  <c r="BR108" i="30" s="1"/>
  <c r="BR73" i="30"/>
  <c r="CC73" i="30"/>
  <c r="CC62" i="30"/>
  <c r="CG62" i="30"/>
  <c r="CG73" i="30"/>
  <c r="CK62" i="30"/>
  <c r="CK73" i="30"/>
  <c r="CO62" i="30"/>
  <c r="CO73" i="30"/>
  <c r="CS73" i="30"/>
  <c r="CS62" i="30"/>
  <c r="CW62" i="30"/>
  <c r="CW73" i="30"/>
  <c r="DE62" i="30"/>
  <c r="DE73" i="30"/>
  <c r="DI62" i="30"/>
  <c r="DI73" i="30"/>
  <c r="DM73" i="30"/>
  <c r="DM62" i="30"/>
  <c r="DQ62" i="30"/>
  <c r="DQ73" i="30"/>
  <c r="DU62" i="30"/>
  <c r="DU73" i="30"/>
  <c r="DY62" i="30"/>
  <c r="DY73" i="30"/>
  <c r="AV63" i="30"/>
  <c r="AV109" i="30" s="1"/>
  <c r="AZ74" i="30"/>
  <c r="AZ63" i="30"/>
  <c r="AZ109" i="30" s="1"/>
  <c r="BD74" i="30"/>
  <c r="BD63" i="30"/>
  <c r="BD109" i="30" s="1"/>
  <c r="BH74" i="30"/>
  <c r="BH63" i="30"/>
  <c r="BH109" i="30" s="1"/>
  <c r="BL74" i="30"/>
  <c r="BL63" i="30"/>
  <c r="BL109" i="30" s="1"/>
  <c r="BP74" i="30"/>
  <c r="BP63" i="30"/>
  <c r="BP109" i="30" s="1"/>
  <c r="CE74" i="30"/>
  <c r="CE63" i="30"/>
  <c r="CI74" i="30"/>
  <c r="CI63" i="30"/>
  <c r="CM74" i="30"/>
  <c r="CM63" i="30"/>
  <c r="CQ74" i="30"/>
  <c r="CQ63" i="30"/>
  <c r="CU74" i="30"/>
  <c r="CU63" i="30"/>
  <c r="CY74" i="30"/>
  <c r="CY63" i="30"/>
  <c r="DG74" i="30"/>
  <c r="DG63" i="30"/>
  <c r="DK74" i="30"/>
  <c r="DK63" i="30"/>
  <c r="DO74" i="30"/>
  <c r="DO63" i="30"/>
  <c r="DS74" i="30"/>
  <c r="DS63" i="30"/>
  <c r="DW74" i="30"/>
  <c r="DW63" i="30"/>
  <c r="EA74" i="30"/>
  <c r="EA63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64" i="30"/>
  <c r="BM110" i="30" s="1"/>
  <c r="BQ75" i="30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AY112" i="30" s="1"/>
  <c r="BC66" i="30"/>
  <c r="BC112" i="30" s="1"/>
  <c r="BC77" i="30"/>
  <c r="BG66" i="30"/>
  <c r="BG112" i="30" s="1"/>
  <c r="BG77" i="30"/>
  <c r="BK66" i="30"/>
  <c r="BK112" i="30" s="1"/>
  <c r="BK77" i="30"/>
  <c r="BO77" i="30"/>
  <c r="BO66" i="30"/>
  <c r="BO112" i="30" s="1"/>
  <c r="BS66" i="30"/>
  <c r="BS112" i="30" s="1"/>
  <c r="BS77" i="30"/>
  <c r="CD66" i="30"/>
  <c r="CD77" i="30"/>
  <c r="CD82" i="30" s="1"/>
  <c r="CH66" i="30"/>
  <c r="CH77" i="30"/>
  <c r="CL77" i="30"/>
  <c r="CL66" i="30"/>
  <c r="CP66" i="30"/>
  <c r="CP77" i="30"/>
  <c r="CT66" i="30"/>
  <c r="CT77" i="30"/>
  <c r="CT82" i="30" s="1"/>
  <c r="CX66" i="30"/>
  <c r="CX77" i="30"/>
  <c r="DF77" i="30"/>
  <c r="DF66" i="30"/>
  <c r="DJ66" i="30"/>
  <c r="DJ77" i="30"/>
  <c r="DN66" i="30"/>
  <c r="DN77" i="30"/>
  <c r="DN82" i="30" s="1"/>
  <c r="DR66" i="30"/>
  <c r="DR77" i="30"/>
  <c r="DV77" i="30"/>
  <c r="DV66" i="30"/>
  <c r="DZ66" i="30"/>
  <c r="DZ77" i="30"/>
  <c r="BZ113" i="30"/>
  <c r="BZ78" i="30"/>
  <c r="DC114" i="30"/>
  <c r="DC79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CP84" i="30"/>
  <c r="AA198" i="28"/>
  <c r="AC200" i="28"/>
  <c r="AA202" i="28"/>
  <c r="AC204" i="28"/>
  <c r="AA206" i="28"/>
  <c r="AD206" i="28" s="1"/>
  <c r="C5" i="29"/>
  <c r="C9" i="29" s="1"/>
  <c r="G5" i="29"/>
  <c r="G9" i="29" s="1"/>
  <c r="K5" i="29"/>
  <c r="K9" i="29" s="1"/>
  <c r="O5" i="29"/>
  <c r="O9" i="29" s="1"/>
  <c r="S5" i="29"/>
  <c r="S9" i="29" s="1"/>
  <c r="W5" i="29"/>
  <c r="W9" i="29" s="1"/>
  <c r="C20" i="29"/>
  <c r="C21" i="29" s="1"/>
  <c r="C7" i="29" s="1"/>
  <c r="C12" i="29" s="1"/>
  <c r="G20" i="29"/>
  <c r="G21" i="29" s="1"/>
  <c r="G7" i="29" s="1"/>
  <c r="G12" i="29" s="1"/>
  <c r="K20" i="29"/>
  <c r="K21" i="29" s="1"/>
  <c r="K7" i="29" s="1"/>
  <c r="K12" i="29" s="1"/>
  <c r="O20" i="29"/>
  <c r="O21" i="29" s="1"/>
  <c r="O7" i="29" s="1"/>
  <c r="O12" i="29" s="1"/>
  <c r="S20" i="29"/>
  <c r="S21" i="29" s="1"/>
  <c r="S7" i="29" s="1"/>
  <c r="S12" i="29" s="1"/>
  <c r="W20" i="29"/>
  <c r="W21" i="29" s="1"/>
  <c r="W7" i="29" s="1"/>
  <c r="W12" i="29" s="1"/>
  <c r="C26" i="29"/>
  <c r="C32" i="29" s="1"/>
  <c r="C34" i="29" s="1"/>
  <c r="G26" i="29"/>
  <c r="K26" i="29"/>
  <c r="O26" i="29"/>
  <c r="S26" i="29"/>
  <c r="W26" i="29"/>
  <c r="F46" i="29"/>
  <c r="J46" i="29"/>
  <c r="N46" i="29"/>
  <c r="R46" i="29"/>
  <c r="V46" i="29"/>
  <c r="Z46" i="29"/>
  <c r="F57" i="29"/>
  <c r="J57" i="29"/>
  <c r="R57" i="29"/>
  <c r="V57" i="29"/>
  <c r="Z57" i="29"/>
  <c r="F58" i="29"/>
  <c r="J58" i="29"/>
  <c r="R58" i="29"/>
  <c r="Z58" i="29"/>
  <c r="F59" i="29"/>
  <c r="J59" i="29"/>
  <c r="R59" i="29"/>
  <c r="Z59" i="29"/>
  <c r="F61" i="29"/>
  <c r="F48" i="29" s="1"/>
  <c r="J61" i="29"/>
  <c r="J48" i="29" s="1"/>
  <c r="N61" i="29"/>
  <c r="N48" i="29" s="1"/>
  <c r="R61" i="29"/>
  <c r="R48" i="29" s="1"/>
  <c r="Z61" i="29"/>
  <c r="Z48" i="29" s="1"/>
  <c r="E203" i="29"/>
  <c r="I203" i="29"/>
  <c r="M203" i="29"/>
  <c r="Q203" i="29"/>
  <c r="U203" i="29"/>
  <c r="Y203" i="29"/>
  <c r="AT4" i="30"/>
  <c r="AT5" i="30"/>
  <c r="AT6" i="30"/>
  <c r="AT7" i="30"/>
  <c r="F16" i="30"/>
  <c r="F17" i="30"/>
  <c r="F18" i="30"/>
  <c r="AT19" i="30"/>
  <c r="DC20" i="30"/>
  <c r="DC53" i="30" s="1"/>
  <c r="DC22" i="30"/>
  <c r="DC55" i="30" s="1"/>
  <c r="AY26" i="30"/>
  <c r="BC26" i="30"/>
  <c r="BC71" i="30" s="1"/>
  <c r="BG26" i="30"/>
  <c r="BK26" i="30"/>
  <c r="BO26" i="30"/>
  <c r="BS26" i="30"/>
  <c r="CC26" i="30"/>
  <c r="CG26" i="30"/>
  <c r="CK26" i="30"/>
  <c r="CO26" i="30"/>
  <c r="CS26" i="30"/>
  <c r="CW26" i="30"/>
  <c r="DH26" i="30"/>
  <c r="DL26" i="30"/>
  <c r="DP26" i="30"/>
  <c r="DT26" i="30"/>
  <c r="DX26" i="30"/>
  <c r="EB26" i="30"/>
  <c r="BA27" i="30"/>
  <c r="BA72" i="30" s="1"/>
  <c r="BE27" i="30"/>
  <c r="BE72" i="30" s="1"/>
  <c r="BI27" i="30"/>
  <c r="BI72" i="30" s="1"/>
  <c r="BM27" i="30"/>
  <c r="BM72" i="30" s="1"/>
  <c r="BQ27" i="30"/>
  <c r="BQ72" i="30" s="1"/>
  <c r="CE27" i="30"/>
  <c r="CI27" i="30"/>
  <c r="CM27" i="30"/>
  <c r="CQ27" i="30"/>
  <c r="CU27" i="30"/>
  <c r="CY27" i="30"/>
  <c r="DJ27" i="30"/>
  <c r="DN27" i="30"/>
  <c r="DR27" i="30"/>
  <c r="DV27" i="30"/>
  <c r="DZ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BS73" i="30" s="1"/>
  <c r="CC28" i="30"/>
  <c r="CG28" i="30"/>
  <c r="CK28" i="30"/>
  <c r="CO28" i="30"/>
  <c r="CS28" i="30"/>
  <c r="CW28" i="30"/>
  <c r="DH28" i="30"/>
  <c r="DL28" i="30"/>
  <c r="DP28" i="30"/>
  <c r="DT28" i="30"/>
  <c r="DX28" i="30"/>
  <c r="EB28" i="30"/>
  <c r="AW29" i="30"/>
  <c r="AW74" i="30" s="1"/>
  <c r="BA29" i="30"/>
  <c r="BA74" i="30" s="1"/>
  <c r="BE29" i="30"/>
  <c r="BE74" i="30" s="1"/>
  <c r="BI29" i="30"/>
  <c r="BI63" i="30" s="1"/>
  <c r="BI109" i="30" s="1"/>
  <c r="BM29" i="30"/>
  <c r="BM74" i="30" s="1"/>
  <c r="BQ29" i="30"/>
  <c r="BQ74" i="30" s="1"/>
  <c r="CE29" i="30"/>
  <c r="CI29" i="30"/>
  <c r="CM29" i="30"/>
  <c r="CQ29" i="30"/>
  <c r="CU29" i="30"/>
  <c r="CY29" i="30"/>
  <c r="DF29" i="30"/>
  <c r="DJ29" i="30"/>
  <c r="DN29" i="30"/>
  <c r="DR29" i="30"/>
  <c r="DV29" i="30"/>
  <c r="DZ29" i="30"/>
  <c r="AY30" i="30"/>
  <c r="BC30" i="30"/>
  <c r="BG30" i="30"/>
  <c r="BK30" i="30"/>
  <c r="BO30" i="30"/>
  <c r="BO64" i="30" s="1"/>
  <c r="BO110" i="30" s="1"/>
  <c r="BS30" i="30"/>
  <c r="BS75" i="30" s="1"/>
  <c r="CC30" i="30"/>
  <c r="CG30" i="30"/>
  <c r="CK30" i="30"/>
  <c r="CO30" i="30"/>
  <c r="CS30" i="30"/>
  <c r="CW30" i="30"/>
  <c r="DH30" i="30"/>
  <c r="DL30" i="30"/>
  <c r="DP30" i="30"/>
  <c r="DT30" i="30"/>
  <c r="DX30" i="30"/>
  <c r="EB30" i="30"/>
  <c r="AX31" i="30"/>
  <c r="BB31" i="30"/>
  <c r="BF31" i="30"/>
  <c r="BJ31" i="30"/>
  <c r="BN31" i="30"/>
  <c r="BR31" i="30"/>
  <c r="CB31" i="30"/>
  <c r="CF31" i="30"/>
  <c r="CJ31" i="30"/>
  <c r="CN31" i="30"/>
  <c r="CR31" i="30"/>
  <c r="CV31" i="30"/>
  <c r="DC31" i="30"/>
  <c r="DC95" i="30" s="1"/>
  <c r="DG31" i="30"/>
  <c r="DK31" i="30"/>
  <c r="DO31" i="30"/>
  <c r="DS31" i="30"/>
  <c r="DW31" i="30"/>
  <c r="EA31" i="30"/>
  <c r="AW32" i="30"/>
  <c r="BA32" i="30"/>
  <c r="BE32" i="30"/>
  <c r="BI32" i="30"/>
  <c r="BM32" i="30"/>
  <c r="BQ32" i="30"/>
  <c r="CE32" i="30"/>
  <c r="CI32" i="30"/>
  <c r="CM32" i="30"/>
  <c r="CQ32" i="30"/>
  <c r="CU32" i="30"/>
  <c r="CY32" i="30"/>
  <c r="DF32" i="30"/>
  <c r="DJ32" i="30"/>
  <c r="DN32" i="30"/>
  <c r="DR32" i="30"/>
  <c r="DV32" i="30"/>
  <c r="DZ32" i="30"/>
  <c r="AV33" i="30"/>
  <c r="AZ33" i="30"/>
  <c r="BD33" i="30"/>
  <c r="BH33" i="30"/>
  <c r="BL33" i="30"/>
  <c r="BP33" i="30"/>
  <c r="BZ33" i="30"/>
  <c r="BZ96" i="30" s="1"/>
  <c r="CD33" i="30"/>
  <c r="CH33" i="30"/>
  <c r="CL33" i="30"/>
  <c r="CP33" i="30"/>
  <c r="CT33" i="30"/>
  <c r="CX33" i="30"/>
  <c r="DE33" i="30"/>
  <c r="DI33" i="30"/>
  <c r="DM33" i="30"/>
  <c r="DQ33" i="30"/>
  <c r="DU33" i="30"/>
  <c r="DY33" i="30"/>
  <c r="AX34" i="30"/>
  <c r="BB34" i="30"/>
  <c r="BF34" i="30"/>
  <c r="BJ34" i="30"/>
  <c r="BN34" i="30"/>
  <c r="BR34" i="30"/>
  <c r="CB34" i="30"/>
  <c r="CF34" i="30"/>
  <c r="CJ34" i="30"/>
  <c r="CN34" i="30"/>
  <c r="CR34" i="30"/>
  <c r="CV34" i="30"/>
  <c r="DC34" i="30"/>
  <c r="DC97" i="30" s="1"/>
  <c r="DG34" i="30"/>
  <c r="DK34" i="30"/>
  <c r="DO34" i="30"/>
  <c r="DS34" i="30"/>
  <c r="DW34" i="30"/>
  <c r="EA34" i="30"/>
  <c r="AV35" i="30"/>
  <c r="AZ35" i="30"/>
  <c r="BD35" i="30"/>
  <c r="BH35" i="30"/>
  <c r="BL35" i="30"/>
  <c r="BP35" i="30"/>
  <c r="BZ35" i="30"/>
  <c r="BZ98" i="30" s="1"/>
  <c r="CD35" i="30"/>
  <c r="CH35" i="30"/>
  <c r="CL35" i="30"/>
  <c r="CP35" i="30"/>
  <c r="CT35" i="30"/>
  <c r="CX35" i="30"/>
  <c r="DE35" i="30"/>
  <c r="DI35" i="30"/>
  <c r="DM35" i="30"/>
  <c r="DQ35" i="30"/>
  <c r="DU35" i="30"/>
  <c r="DY35" i="30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O100" i="30" s="1"/>
  <c r="BO101" i="30" s="1"/>
  <c r="BS99" i="30"/>
  <c r="BZ38" i="30"/>
  <c r="BZ41" i="30"/>
  <c r="CE99" i="30"/>
  <c r="CE100" i="30" s="1"/>
  <c r="CE101" i="30" s="1"/>
  <c r="CI99" i="30"/>
  <c r="CI100" i="30" s="1"/>
  <c r="CI101" i="30" s="1"/>
  <c r="CM99" i="30"/>
  <c r="CQ99" i="30"/>
  <c r="CU99" i="30"/>
  <c r="CY99" i="30"/>
  <c r="CY100" i="30" s="1"/>
  <c r="CY101" i="30" s="1"/>
  <c r="DG99" i="30"/>
  <c r="DG100" i="30" s="1"/>
  <c r="DG101" i="30" s="1"/>
  <c r="DK99" i="30"/>
  <c r="DO99" i="30"/>
  <c r="DO100" i="30" s="1"/>
  <c r="DO101" i="30" s="1"/>
  <c r="DS99" i="30"/>
  <c r="DW99" i="30"/>
  <c r="EA99" i="30"/>
  <c r="DC42" i="30"/>
  <c r="BZ45" i="30"/>
  <c r="DC46" i="30"/>
  <c r="AY60" i="30"/>
  <c r="AY106" i="30" s="1"/>
  <c r="BC60" i="30"/>
  <c r="BC106" i="30" s="1"/>
  <c r="BG60" i="30"/>
  <c r="BG106" i="30" s="1"/>
  <c r="BK60" i="30"/>
  <c r="BK106" i="30" s="1"/>
  <c r="BO60" i="30"/>
  <c r="BO106" i="30" s="1"/>
  <c r="BS60" i="30"/>
  <c r="BS106" i="30" s="1"/>
  <c r="CD60" i="30"/>
  <c r="CH60" i="30"/>
  <c r="CL60" i="30"/>
  <c r="CP60" i="30"/>
  <c r="CT60" i="30"/>
  <c r="CX60" i="30"/>
  <c r="DF60" i="30"/>
  <c r="DJ60" i="30"/>
  <c r="DN60" i="30"/>
  <c r="DR60" i="30"/>
  <c r="DV60" i="30"/>
  <c r="DZ60" i="30"/>
  <c r="AY61" i="30"/>
  <c r="AY107" i="30" s="1"/>
  <c r="BO61" i="30"/>
  <c r="BO107" i="30" s="1"/>
  <c r="BS61" i="30"/>
  <c r="BS107" i="30" s="1"/>
  <c r="CD61" i="30"/>
  <c r="CH61" i="30"/>
  <c r="CL61" i="30"/>
  <c r="CP61" i="30"/>
  <c r="CT61" i="30"/>
  <c r="CX61" i="30"/>
  <c r="DF61" i="30"/>
  <c r="DJ61" i="30"/>
  <c r="DN61" i="30"/>
  <c r="DR61" i="30"/>
  <c r="DV61" i="30"/>
  <c r="DZ61" i="30"/>
  <c r="AY62" i="30"/>
  <c r="AY108" i="30" s="1"/>
  <c r="BC62" i="30"/>
  <c r="BC108" i="30" s="1"/>
  <c r="BO62" i="30"/>
  <c r="BO108" i="30" s="1"/>
  <c r="BS62" i="30"/>
  <c r="BS108" i="30" s="1"/>
  <c r="CD62" i="30"/>
  <c r="CH62" i="30"/>
  <c r="CL62" i="30"/>
  <c r="CP62" i="30"/>
  <c r="CT62" i="30"/>
  <c r="CX62" i="30"/>
  <c r="DF62" i="30"/>
  <c r="DJ62" i="30"/>
  <c r="DN62" i="30"/>
  <c r="DR62" i="30"/>
  <c r="DV62" i="30"/>
  <c r="DZ62" i="30"/>
  <c r="AY63" i="30"/>
  <c r="AY109" i="30" s="1"/>
  <c r="BO63" i="30"/>
  <c r="BO109" i="30" s="1"/>
  <c r="BS63" i="30"/>
  <c r="BS109" i="30" s="1"/>
  <c r="CD63" i="30"/>
  <c r="CH63" i="30"/>
  <c r="CL63" i="30"/>
  <c r="CP63" i="30"/>
  <c r="CT63" i="30"/>
  <c r="CX63" i="30"/>
  <c r="DF63" i="30"/>
  <c r="DJ63" i="30"/>
  <c r="DN63" i="30"/>
  <c r="DR63" i="30"/>
  <c r="DV63" i="30"/>
  <c r="DZ63" i="30"/>
  <c r="AV66" i="30"/>
  <c r="AZ66" i="30"/>
  <c r="AZ112" i="30" s="1"/>
  <c r="BD66" i="30"/>
  <c r="BD112" i="30" s="1"/>
  <c r="BH66" i="30"/>
  <c r="BH112" i="30" s="1"/>
  <c r="BL66" i="30"/>
  <c r="BL112" i="30" s="1"/>
  <c r="BP66" i="30"/>
  <c r="BP112" i="30" s="1"/>
  <c r="BZ66" i="30"/>
  <c r="CE66" i="30"/>
  <c r="CI66" i="30"/>
  <c r="CM66" i="30"/>
  <c r="CQ66" i="30"/>
  <c r="CU66" i="30"/>
  <c r="CY66" i="30"/>
  <c r="DG66" i="30"/>
  <c r="DK66" i="30"/>
  <c r="DO66" i="30"/>
  <c r="DS66" i="30"/>
  <c r="DW66" i="30"/>
  <c r="EA66" i="30"/>
  <c r="DC67" i="30"/>
  <c r="F69" i="30"/>
  <c r="N77" i="30"/>
  <c r="BA71" i="30"/>
  <c r="BQ71" i="30"/>
  <c r="CN71" i="30"/>
  <c r="BH78" i="30"/>
  <c r="CE78" i="30"/>
  <c r="CU78" i="30"/>
  <c r="DO78" i="30"/>
  <c r="AW79" i="30"/>
  <c r="BM79" i="30"/>
  <c r="CJ79" i="30"/>
  <c r="DT79" i="30"/>
  <c r="DT83" i="30" s="1"/>
  <c r="AO28" i="31"/>
  <c r="AP28" i="31" s="1"/>
  <c r="AO27" i="31"/>
  <c r="AP27" i="31" s="1"/>
  <c r="F203" i="29"/>
  <c r="J203" i="29"/>
  <c r="N203" i="29"/>
  <c r="R203" i="29"/>
  <c r="V203" i="29"/>
  <c r="Z203" i="29"/>
  <c r="DF84" i="30"/>
  <c r="DF83" i="30"/>
  <c r="DV84" i="30"/>
  <c r="BZ24" i="30"/>
  <c r="BZ57" i="30" s="1"/>
  <c r="BZ26" i="30"/>
  <c r="BZ90" i="30" s="1"/>
  <c r="BZ28" i="30"/>
  <c r="BZ92" i="30" s="1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DC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BZ37" i="30"/>
  <c r="DC38" i="30"/>
  <c r="BZ40" i="30"/>
  <c r="DC41" i="30"/>
  <c r="BZ44" i="30"/>
  <c r="DC45" i="30"/>
  <c r="AU59" i="30"/>
  <c r="BZ60" i="30"/>
  <c r="BZ61" i="30"/>
  <c r="BZ62" i="30"/>
  <c r="BZ63" i="30"/>
  <c r="AV64" i="30"/>
  <c r="AV110" i="30" s="1"/>
  <c r="AZ64" i="30"/>
  <c r="AZ110" i="30" s="1"/>
  <c r="BD64" i="30"/>
  <c r="BD110" i="30" s="1"/>
  <c r="BH64" i="30"/>
  <c r="BH110" i="30" s="1"/>
  <c r="BP64" i="30"/>
  <c r="BP110" i="30" s="1"/>
  <c r="CE64" i="30"/>
  <c r="CI64" i="30"/>
  <c r="CM64" i="30"/>
  <c r="CQ64" i="30"/>
  <c r="CU64" i="30"/>
  <c r="CY64" i="30"/>
  <c r="DG64" i="30"/>
  <c r="DK64" i="30"/>
  <c r="DO64" i="30"/>
  <c r="DS64" i="30"/>
  <c r="DW64" i="30"/>
  <c r="EA64" i="30"/>
  <c r="AV65" i="30"/>
  <c r="AZ65" i="30"/>
  <c r="AZ111" i="30" s="1"/>
  <c r="BD65" i="30"/>
  <c r="BD111" i="30" s="1"/>
  <c r="BH65" i="30"/>
  <c r="BH111" i="30" s="1"/>
  <c r="BL65" i="30"/>
  <c r="BL111" i="30" s="1"/>
  <c r="BP65" i="30"/>
  <c r="BP111" i="30" s="1"/>
  <c r="BZ65" i="30"/>
  <c r="CE65" i="30"/>
  <c r="CI65" i="30"/>
  <c r="CM65" i="30"/>
  <c r="CQ65" i="30"/>
  <c r="CU65" i="30"/>
  <c r="CY65" i="30"/>
  <c r="DG65" i="30"/>
  <c r="DK65" i="30"/>
  <c r="DO65" i="30"/>
  <c r="DS65" i="30"/>
  <c r="DW65" i="30"/>
  <c r="EA65" i="30"/>
  <c r="DC66" i="30"/>
  <c r="AX67" i="30"/>
  <c r="BB67" i="30"/>
  <c r="BF67" i="30"/>
  <c r="BJ67" i="30"/>
  <c r="BN67" i="30"/>
  <c r="BR67" i="30"/>
  <c r="CC67" i="30"/>
  <c r="CG67" i="30"/>
  <c r="CK67" i="30"/>
  <c r="CO67" i="30"/>
  <c r="CS67" i="30"/>
  <c r="CW67" i="30"/>
  <c r="DE67" i="30"/>
  <c r="DI67" i="30"/>
  <c r="DM67" i="30"/>
  <c r="DQ67" i="30"/>
  <c r="DU67" i="30"/>
  <c r="DY67" i="30"/>
  <c r="AY68" i="30"/>
  <c r="BC68" i="30"/>
  <c r="BG68" i="30"/>
  <c r="BK68" i="30"/>
  <c r="BO68" i="30"/>
  <c r="BS68" i="30"/>
  <c r="CD68" i="30"/>
  <c r="CH68" i="30"/>
  <c r="CL68" i="30"/>
  <c r="CP68" i="30"/>
  <c r="CT68" i="30"/>
  <c r="CX68" i="30"/>
  <c r="DF68" i="30"/>
  <c r="DJ68" i="30"/>
  <c r="DN68" i="30"/>
  <c r="DR68" i="30"/>
  <c r="DV68" i="30"/>
  <c r="DZ68" i="30"/>
  <c r="AW71" i="30"/>
  <c r="BM71" i="30"/>
  <c r="CJ71" i="30"/>
  <c r="AV78" i="30"/>
  <c r="BL78" i="30"/>
  <c r="CI78" i="30"/>
  <c r="CY78" i="30"/>
  <c r="DS78" i="30"/>
  <c r="BA79" i="30"/>
  <c r="BQ79" i="30"/>
  <c r="CN79" i="30"/>
  <c r="DH79" i="30"/>
  <c r="DH83" i="30" s="1"/>
  <c r="DX79" i="30"/>
  <c r="DX84" i="30" s="1"/>
  <c r="DF82" i="30"/>
  <c r="DV82" i="30"/>
  <c r="D46" i="29"/>
  <c r="H46" i="29"/>
  <c r="L46" i="29"/>
  <c r="P46" i="29"/>
  <c r="T46" i="29"/>
  <c r="X46" i="29"/>
  <c r="P57" i="29"/>
  <c r="T57" i="29"/>
  <c r="P58" i="29"/>
  <c r="D59" i="29"/>
  <c r="P59" i="29"/>
  <c r="L61" i="29"/>
  <c r="L48" i="29" s="1"/>
  <c r="P61" i="29"/>
  <c r="P48" i="29" s="1"/>
  <c r="C203" i="29"/>
  <c r="G203" i="29"/>
  <c r="K203" i="29"/>
  <c r="O203" i="29"/>
  <c r="S203" i="29"/>
  <c r="W203" i="29"/>
  <c r="EB100" i="30"/>
  <c r="EB101" i="30" s="1"/>
  <c r="DT100" i="30"/>
  <c r="DT101" i="30" s="1"/>
  <c r="DP100" i="30"/>
  <c r="DP101" i="30" s="1"/>
  <c r="DL100" i="30"/>
  <c r="DL101" i="30" s="1"/>
  <c r="DH100" i="30"/>
  <c r="DH101" i="30" s="1"/>
  <c r="CU100" i="30"/>
  <c r="CU101" i="30" s="1"/>
  <c r="CQ100" i="30"/>
  <c r="CQ101" i="30" s="1"/>
  <c r="CM100" i="30"/>
  <c r="CM101" i="30" s="1"/>
  <c r="BS100" i="30"/>
  <c r="BS101" i="30" s="1"/>
  <c r="DZ100" i="30"/>
  <c r="DZ101" i="30" s="1"/>
  <c r="DV100" i="30"/>
  <c r="DV101" i="30" s="1"/>
  <c r="DR100" i="30"/>
  <c r="DR101" i="30" s="1"/>
  <c r="DN100" i="30"/>
  <c r="DN101" i="30" s="1"/>
  <c r="DF100" i="30"/>
  <c r="DF101" i="30" s="1"/>
  <c r="CV100" i="30"/>
  <c r="CV101" i="30" s="1"/>
  <c r="CN100" i="30"/>
  <c r="CN101" i="30" s="1"/>
  <c r="CF100" i="30"/>
  <c r="CF101" i="30" s="1"/>
  <c r="DW100" i="30"/>
  <c r="DW101" i="30" s="1"/>
  <c r="CT100" i="30"/>
  <c r="CT101" i="30" s="1"/>
  <c r="CL100" i="30"/>
  <c r="CL101" i="30" s="1"/>
  <c r="CD100" i="30"/>
  <c r="CD101" i="30" s="1"/>
  <c r="BN100" i="30"/>
  <c r="BN101" i="30" s="1"/>
  <c r="BF100" i="30"/>
  <c r="BF101" i="30" s="1"/>
  <c r="AX100" i="30"/>
  <c r="AX101" i="30" s="1"/>
  <c r="CR100" i="30"/>
  <c r="CR101" i="30" s="1"/>
  <c r="CJ100" i="30"/>
  <c r="CJ101" i="30" s="1"/>
  <c r="CB100" i="30"/>
  <c r="CB101" i="30" s="1"/>
  <c r="AV100" i="30"/>
  <c r="AV101" i="30" s="1"/>
  <c r="EA100" i="30"/>
  <c r="EA101" i="30" s="1"/>
  <c r="DS100" i="30"/>
  <c r="DS101" i="30" s="1"/>
  <c r="DK100" i="30"/>
  <c r="DK101" i="30" s="1"/>
  <c r="CX100" i="30"/>
  <c r="CX101" i="30" s="1"/>
  <c r="CH100" i="30"/>
  <c r="CH101" i="30" s="1"/>
  <c r="BJ100" i="30"/>
  <c r="BJ101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BZ23" i="30"/>
  <c r="BZ56" i="30" s="1"/>
  <c r="DC24" i="30"/>
  <c r="DC57" i="30" s="1"/>
  <c r="AW26" i="30"/>
  <c r="BA26" i="30"/>
  <c r="BE26" i="30"/>
  <c r="BE71" i="30" s="1"/>
  <c r="BI26" i="30"/>
  <c r="BM26" i="30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61" i="30" s="1"/>
  <c r="BC107" i="30" s="1"/>
  <c r="BG27" i="30"/>
  <c r="BG61" i="30" s="1"/>
  <c r="BG107" i="30" s="1"/>
  <c r="BK27" i="30"/>
  <c r="BK61" i="30" s="1"/>
  <c r="BK107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AW73" i="30" s="1"/>
  <c r="BA28" i="30"/>
  <c r="BA73" i="30" s="1"/>
  <c r="BE28" i="30"/>
  <c r="BE73" i="30" s="1"/>
  <c r="BI28" i="30"/>
  <c r="BI62" i="30" s="1"/>
  <c r="BI108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AY74" i="30" s="1"/>
  <c r="BC29" i="30"/>
  <c r="BC63" i="30" s="1"/>
  <c r="BC109" i="30" s="1"/>
  <c r="BG29" i="30"/>
  <c r="BG74" i="30" s="1"/>
  <c r="BK29" i="30"/>
  <c r="BK74" i="30" s="1"/>
  <c r="BO29" i="30"/>
  <c r="BO74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BM75" i="30" s="1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AY32" i="30"/>
  <c r="BC32" i="30"/>
  <c r="BG32" i="30"/>
  <c r="BK32" i="30"/>
  <c r="BO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BR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EA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AX35" i="30"/>
  <c r="BB35" i="30"/>
  <c r="BF35" i="30"/>
  <c r="BJ35" i="30"/>
  <c r="BN35" i="30"/>
  <c r="BR35" i="30"/>
  <c r="CB35" i="30"/>
  <c r="CF35" i="30"/>
  <c r="CJ35" i="30"/>
  <c r="CN35" i="30"/>
  <c r="CR35" i="30"/>
  <c r="DC35" i="30"/>
  <c r="DC98" i="30" s="1"/>
  <c r="DG35" i="30"/>
  <c r="DK35" i="30"/>
  <c r="DO35" i="30"/>
  <c r="DS35" i="30"/>
  <c r="DW35" i="30"/>
  <c r="EA35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C37" i="30"/>
  <c r="DC40" i="30"/>
  <c r="CC99" i="30"/>
  <c r="CC100" i="30" s="1"/>
  <c r="CC101" i="30" s="1"/>
  <c r="CG99" i="30"/>
  <c r="CG100" i="30" s="1"/>
  <c r="CG101" i="30" s="1"/>
  <c r="CK99" i="30"/>
  <c r="CK100" i="30" s="1"/>
  <c r="CK101" i="30" s="1"/>
  <c r="CO99" i="30"/>
  <c r="CO100" i="30" s="1"/>
  <c r="CO101" i="30" s="1"/>
  <c r="CS99" i="30"/>
  <c r="CS100" i="30" s="1"/>
  <c r="CS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CA59" i="30"/>
  <c r="BE60" i="30"/>
  <c r="BE106" i="30" s="1"/>
  <c r="BI60" i="30"/>
  <c r="BI106" i="30" s="1"/>
  <c r="CB60" i="30"/>
  <c r="CF60" i="30"/>
  <c r="CR60" i="30"/>
  <c r="CV60" i="30"/>
  <c r="DH60" i="30"/>
  <c r="DL60" i="30"/>
  <c r="DP60" i="30"/>
  <c r="DT60" i="30"/>
  <c r="DX60" i="30"/>
  <c r="EB60" i="30"/>
  <c r="AW61" i="30"/>
  <c r="AW107" i="30" s="1"/>
  <c r="BA61" i="30"/>
  <c r="BA107" i="30" s="1"/>
  <c r="BQ61" i="30"/>
  <c r="BQ107" i="30" s="1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Q62" i="30"/>
  <c r="BQ108" i="30" s="1"/>
  <c r="CB62" i="30"/>
  <c r="CF62" i="30"/>
  <c r="CJ62" i="30"/>
  <c r="CN62" i="30"/>
  <c r="CR62" i="30"/>
  <c r="CV62" i="30"/>
  <c r="DC62" i="30"/>
  <c r="DH62" i="30"/>
  <c r="DL62" i="30"/>
  <c r="DP62" i="30"/>
  <c r="DT62" i="30"/>
  <c r="DX62" i="30"/>
  <c r="EB62" i="30"/>
  <c r="AW63" i="30"/>
  <c r="AW109" i="30" s="1"/>
  <c r="BE63" i="30"/>
  <c r="BE109" i="30" s="1"/>
  <c r="BM63" i="30"/>
  <c r="BM109" i="30" s="1"/>
  <c r="BQ63" i="30"/>
  <c r="BQ109" i="30" s="1"/>
  <c r="CB63" i="30"/>
  <c r="CF63" i="30"/>
  <c r="CJ63" i="30"/>
  <c r="CN63" i="30"/>
  <c r="CR63" i="30"/>
  <c r="CV63" i="30"/>
  <c r="DH63" i="30"/>
  <c r="DL63" i="30"/>
  <c r="DP63" i="30"/>
  <c r="DT63" i="30"/>
  <c r="DX63" i="30"/>
  <c r="EB63" i="30"/>
  <c r="DC64" i="30"/>
  <c r="AX66" i="30"/>
  <c r="AX112" i="30" s="1"/>
  <c r="BB66" i="30"/>
  <c r="BB112" i="30" s="1"/>
  <c r="BF66" i="30"/>
  <c r="BF112" i="30" s="1"/>
  <c r="BJ66" i="30"/>
  <c r="BJ112" i="30" s="1"/>
  <c r="BN66" i="30"/>
  <c r="BN112" i="30" s="1"/>
  <c r="BR66" i="30"/>
  <c r="BR112" i="30" s="1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H77" i="30"/>
  <c r="P77" i="30"/>
  <c r="X77" i="30"/>
  <c r="BZ69" i="30"/>
  <c r="AZ78" i="30"/>
  <c r="BP78" i="30"/>
  <c r="CM78" i="30"/>
  <c r="DG78" i="30"/>
  <c r="DW78" i="30"/>
  <c r="BE79" i="30"/>
  <c r="CB79" i="30"/>
  <c r="CR79" i="30"/>
  <c r="DL79" i="30"/>
  <c r="EB79" i="30"/>
  <c r="F81" i="30"/>
  <c r="B114" i="30" s="1"/>
  <c r="D203" i="29"/>
  <c r="H203" i="29"/>
  <c r="L203" i="29"/>
  <c r="P203" i="29"/>
  <c r="T203" i="29"/>
  <c r="X203" i="29"/>
  <c r="DP83" i="30"/>
  <c r="DP84" i="30"/>
  <c r="DP82" i="30"/>
  <c r="DP81" i="30"/>
  <c r="DX83" i="30"/>
  <c r="DX81" i="30"/>
  <c r="CE31" i="30"/>
  <c r="CI31" i="30"/>
  <c r="CM31" i="30"/>
  <c r="CQ31" i="30"/>
  <c r="CU31" i="30"/>
  <c r="AY33" i="30"/>
  <c r="BC33" i="30"/>
  <c r="BG33" i="30"/>
  <c r="BK33" i="30"/>
  <c r="BO33" i="30"/>
  <c r="DH33" i="30"/>
  <c r="DL33" i="30"/>
  <c r="DP33" i="30"/>
  <c r="DT33" i="30"/>
  <c r="DX33" i="30"/>
  <c r="CE34" i="30"/>
  <c r="CI34" i="30"/>
  <c r="CM34" i="30"/>
  <c r="CQ34" i="30"/>
  <c r="CU34" i="30"/>
  <c r="AY35" i="30"/>
  <c r="BC35" i="30"/>
  <c r="BG35" i="30"/>
  <c r="BK35" i="30"/>
  <c r="BO35" i="30"/>
  <c r="DH35" i="30"/>
  <c r="DL35" i="30"/>
  <c r="DP35" i="30"/>
  <c r="DT35" i="30"/>
  <c r="DX35" i="30"/>
  <c r="DD59" i="30"/>
  <c r="C272" i="32"/>
  <c r="B107" i="30"/>
  <c r="B124" i="30" s="1"/>
  <c r="C274" i="32"/>
  <c r="D274" i="32" s="1"/>
  <c r="C206" i="30"/>
  <c r="AX64" i="30"/>
  <c r="AX110" i="30" s="1"/>
  <c r="BB64" i="30"/>
  <c r="BB110" i="30" s="1"/>
  <c r="BF64" i="30"/>
  <c r="BF110" i="30" s="1"/>
  <c r="BJ64" i="30"/>
  <c r="BJ110" i="30" s="1"/>
  <c r="BN64" i="30"/>
  <c r="BN110" i="30" s="1"/>
  <c r="BR64" i="30"/>
  <c r="BR110" i="30" s="1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X65" i="30"/>
  <c r="AX111" i="30" s="1"/>
  <c r="BB65" i="30"/>
  <c r="BB111" i="30" s="1"/>
  <c r="BF65" i="30"/>
  <c r="BF111" i="30" s="1"/>
  <c r="BJ65" i="30"/>
  <c r="BJ111" i="30" s="1"/>
  <c r="BN65" i="30"/>
  <c r="BN111" i="30" s="1"/>
  <c r="BR65" i="30"/>
  <c r="BR111" i="30" s="1"/>
  <c r="CC65" i="30"/>
  <c r="CG65" i="30"/>
  <c r="CK65" i="30"/>
  <c r="CO65" i="30"/>
  <c r="CS65" i="30"/>
  <c r="CW65" i="30"/>
  <c r="DE65" i="30"/>
  <c r="DI65" i="30"/>
  <c r="DM65" i="30"/>
  <c r="DQ65" i="30"/>
  <c r="DU65" i="30"/>
  <c r="DY65" i="30"/>
  <c r="BD67" i="30"/>
  <c r="CQ67" i="30"/>
  <c r="DK67" i="30"/>
  <c r="EA67" i="30"/>
  <c r="BI68" i="30"/>
  <c r="CF68" i="30"/>
  <c r="CV68" i="30"/>
  <c r="DP68" i="30"/>
  <c r="DF81" i="30"/>
  <c r="DV81" i="30"/>
  <c r="AF27" i="31"/>
  <c r="AG27" i="31" s="1"/>
  <c r="AF28" i="31"/>
  <c r="AG28" i="31" s="1"/>
  <c r="M5" i="31"/>
  <c r="C6" i="31"/>
  <c r="L6" i="31" s="1"/>
  <c r="AK27" i="31"/>
  <c r="AK28" i="31" s="1"/>
  <c r="J38" i="31" s="1"/>
  <c r="V28" i="31"/>
  <c r="F6" i="31"/>
  <c r="H6" i="31"/>
  <c r="M6" i="31" s="1"/>
  <c r="AC49" i="31"/>
  <c r="I220" i="32"/>
  <c r="I221" i="32" s="1"/>
  <c r="BJ74" i="31"/>
  <c r="BN74" i="31"/>
  <c r="BR74" i="31"/>
  <c r="CD74" i="31"/>
  <c r="S54" i="31"/>
  <c r="S55" i="31" s="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O90" i="31"/>
  <c r="AW90" i="31"/>
  <c r="BE90" i="31"/>
  <c r="BM90" i="31"/>
  <c r="BU90" i="31"/>
  <c r="AB89" i="31"/>
  <c r="AJ89" i="31"/>
  <c r="AR89" i="31"/>
  <c r="AZ89" i="31"/>
  <c r="BH89" i="31"/>
  <c r="AH90" i="31"/>
  <c r="AP90" i="31"/>
  <c r="AX90" i="31"/>
  <c r="BF90" i="31"/>
  <c r="BN90" i="31"/>
  <c r="BV90" i="31"/>
  <c r="AG92" i="31"/>
  <c r="AP92" i="31"/>
  <c r="BB92" i="31"/>
  <c r="BM92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BP93" i="31"/>
  <c r="BH93" i="31"/>
  <c r="AZ93" i="31"/>
  <c r="AR93" i="31"/>
  <c r="AJ93" i="31"/>
  <c r="AB93" i="31"/>
  <c r="AF93" i="31"/>
  <c r="AQ93" i="31"/>
  <c r="BC93" i="31"/>
  <c r="BL93" i="31"/>
  <c r="AF98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E89" i="31"/>
  <c r="AM89" i="31"/>
  <c r="AU89" i="31"/>
  <c r="BC89" i="31"/>
  <c r="BS89" i="31"/>
  <c r="AC90" i="31"/>
  <c r="AK90" i="31"/>
  <c r="AS90" i="31"/>
  <c r="BA90" i="31"/>
  <c r="BI90" i="31"/>
  <c r="BQ90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BQ92" i="31"/>
  <c r="BI92" i="31"/>
  <c r="BA92" i="31"/>
  <c r="AS92" i="31"/>
  <c r="AK92" i="31"/>
  <c r="AC92" i="31"/>
  <c r="AH92" i="31"/>
  <c r="AT92" i="31"/>
  <c r="BE92" i="31"/>
  <c r="AF89" i="31"/>
  <c r="AN89" i="31"/>
  <c r="AV89" i="31"/>
  <c r="BD89" i="31"/>
  <c r="BL89" i="31"/>
  <c r="BT89" i="31"/>
  <c r="AD90" i="31"/>
  <c r="AL90" i="31"/>
  <c r="AT90" i="31"/>
  <c r="BB90" i="31"/>
  <c r="BJ90" i="31"/>
  <c r="BR90" i="31"/>
  <c r="AL92" i="31"/>
  <c r="AW92" i="31"/>
  <c r="BF92" i="31"/>
  <c r="BR92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E98" i="31"/>
  <c r="AW98" i="31"/>
  <c r="AO98" i="31"/>
  <c r="AG98" i="31"/>
  <c r="BQ98" i="31"/>
  <c r="BI98" i="31"/>
  <c r="BA98" i="31"/>
  <c r="AS98" i="31"/>
  <c r="AK98" i="31"/>
  <c r="AC98" i="31"/>
  <c r="BP98" i="31"/>
  <c r="BH98" i="31"/>
  <c r="AZ98" i="31"/>
  <c r="AR98" i="31"/>
  <c r="AJ98" i="31"/>
  <c r="AB98" i="31"/>
  <c r="AV98" i="31"/>
  <c r="AM215" i="32"/>
  <c r="W274" i="31"/>
  <c r="AM218" i="32" s="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F96" i="31"/>
  <c r="AN96" i="31"/>
  <c r="AV96" i="31"/>
  <c r="BD96" i="31"/>
  <c r="BL96" i="31"/>
  <c r="BT96" i="31"/>
  <c r="BT100" i="31"/>
  <c r="BP100" i="31"/>
  <c r="BL100" i="31"/>
  <c r="BH100" i="31"/>
  <c r="BD100" i="31"/>
  <c r="AZ100" i="31"/>
  <c r="AV100" i="31"/>
  <c r="AR100" i="31"/>
  <c r="AN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F100" i="31"/>
  <c r="AO100" i="31"/>
  <c r="BE100" i="31"/>
  <c r="BU100" i="31"/>
  <c r="M110" i="31"/>
  <c r="AI210" i="31"/>
  <c r="W210" i="31"/>
  <c r="V210" i="31"/>
  <c r="AG210" i="31"/>
  <c r="AF210" i="31"/>
  <c r="U210" i="31"/>
  <c r="AJ210" i="31"/>
  <c r="AI226" i="31"/>
  <c r="W226" i="31"/>
  <c r="V226" i="31"/>
  <c r="AG226" i="31"/>
  <c r="AF226" i="31"/>
  <c r="U226" i="31"/>
  <c r="AJ226" i="31"/>
  <c r="AG96" i="31"/>
  <c r="AO96" i="31"/>
  <c r="AW96" i="31"/>
  <c r="BE96" i="31"/>
  <c r="BM96" i="31"/>
  <c r="BU96" i="31"/>
  <c r="AG100" i="31"/>
  <c r="AS100" i="31"/>
  <c r="BI100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R106" i="31"/>
  <c r="BJ106" i="31"/>
  <c r="BB106" i="31"/>
  <c r="AT106" i="31"/>
  <c r="AL106" i="31"/>
  <c r="AD106" i="31"/>
  <c r="BQ106" i="31"/>
  <c r="BI106" i="31"/>
  <c r="BA106" i="31"/>
  <c r="AS106" i="31"/>
  <c r="AK106" i="31"/>
  <c r="AC106" i="31"/>
  <c r="BV106" i="31"/>
  <c r="BF106" i="31"/>
  <c r="AX106" i="31"/>
  <c r="AP106" i="31"/>
  <c r="AH106" i="31"/>
  <c r="AW106" i="31"/>
  <c r="AI140" i="31"/>
  <c r="V165" i="31"/>
  <c r="U165" i="31"/>
  <c r="AI165" i="31"/>
  <c r="AF165" i="31"/>
  <c r="W165" i="31"/>
  <c r="V180" i="31"/>
  <c r="AG180" i="31"/>
  <c r="U180" i="31"/>
  <c r="AI180" i="31"/>
  <c r="AF180" i="31"/>
  <c r="W180" i="31"/>
  <c r="AI194" i="31"/>
  <c r="W194" i="31"/>
  <c r="V194" i="31"/>
  <c r="AG194" i="31"/>
  <c r="AF194" i="31"/>
  <c r="U194" i="31"/>
  <c r="AJ194" i="31"/>
  <c r="DC167" i="32"/>
  <c r="DC132" i="32"/>
  <c r="EA89" i="32"/>
  <c r="DW89" i="32"/>
  <c r="DS89" i="32"/>
  <c r="DO89" i="32"/>
  <c r="DK89" i="32"/>
  <c r="DG89" i="32"/>
  <c r="DZ89" i="32"/>
  <c r="DV89" i="32"/>
  <c r="DR89" i="32"/>
  <c r="DN89" i="32"/>
  <c r="DJ89" i="32"/>
  <c r="DF89" i="32"/>
  <c r="DY89" i="32"/>
  <c r="DQ89" i="32"/>
  <c r="DI89" i="32"/>
  <c r="DX89" i="32"/>
  <c r="DP89" i="32"/>
  <c r="DH89" i="32"/>
  <c r="DU89" i="32"/>
  <c r="DM89" i="32"/>
  <c r="DE89" i="32"/>
  <c r="EB89" i="32"/>
  <c r="DT89" i="32"/>
  <c r="DL89" i="32"/>
  <c r="AI202" i="31"/>
  <c r="W202" i="31"/>
  <c r="V202" i="31"/>
  <c r="AG202" i="31"/>
  <c r="AF202" i="31"/>
  <c r="U202" i="31"/>
  <c r="AJ202" i="31"/>
  <c r="AI218" i="31"/>
  <c r="W218" i="31"/>
  <c r="V218" i="31"/>
  <c r="AG218" i="31"/>
  <c r="AF218" i="31"/>
  <c r="U218" i="31"/>
  <c r="AJ218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E91" i="31"/>
  <c r="AM91" i="31"/>
  <c r="AU91" i="31"/>
  <c r="BC91" i="31"/>
  <c r="BK91" i="31"/>
  <c r="BS91" i="31"/>
  <c r="AC96" i="31"/>
  <c r="AK96" i="31"/>
  <c r="AS96" i="31"/>
  <c r="BA96" i="31"/>
  <c r="BI96" i="31"/>
  <c r="BQ96" i="31"/>
  <c r="AC100" i="31"/>
  <c r="AK100" i="31"/>
  <c r="BA100" i="31"/>
  <c r="BQ100" i="31"/>
  <c r="AB104" i="31"/>
  <c r="AR104" i="31"/>
  <c r="BH104" i="31"/>
  <c r="AG106" i="31"/>
  <c r="BM106" i="31"/>
  <c r="AB164" i="31"/>
  <c r="AA173" i="31"/>
  <c r="AC173" i="31"/>
  <c r="AB176" i="31"/>
  <c r="AA176" i="31"/>
  <c r="C187" i="32"/>
  <c r="D187" i="32" s="1"/>
  <c r="AJ218" i="32" s="1"/>
  <c r="X235" i="31"/>
  <c r="C308" i="32" s="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E103" i="31"/>
  <c r="AI103" i="31"/>
  <c r="AM103" i="31"/>
  <c r="AQ103" i="31"/>
  <c r="AU103" i="31"/>
  <c r="AY103" i="31"/>
  <c r="BC103" i="31"/>
  <c r="BG103" i="31"/>
  <c r="BO103" i="31"/>
  <c r="BS103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AB107" i="31"/>
  <c r="AJ107" i="31"/>
  <c r="AR107" i="31"/>
  <c r="AZ107" i="31"/>
  <c r="BH107" i="31"/>
  <c r="BP107" i="31"/>
  <c r="K113" i="31"/>
  <c r="AI143" i="31"/>
  <c r="AI137" i="31"/>
  <c r="AI128" i="31"/>
  <c r="AI131" i="31"/>
  <c r="J127" i="31"/>
  <c r="J131" i="31"/>
  <c r="M113" i="31"/>
  <c r="AA169" i="31"/>
  <c r="AB169" i="31"/>
  <c r="AB178" i="31"/>
  <c r="AC178" i="31"/>
  <c r="AA182" i="31"/>
  <c r="AB184" i="31"/>
  <c r="AA184" i="31"/>
  <c r="AA187" i="31"/>
  <c r="AB192" i="31"/>
  <c r="AA192" i="31"/>
  <c r="AC192" i="31"/>
  <c r="AA195" i="31"/>
  <c r="AD195" i="31" s="1"/>
  <c r="AB195" i="31"/>
  <c r="AA198" i="31"/>
  <c r="AB200" i="31"/>
  <c r="AA200" i="31"/>
  <c r="AA203" i="31"/>
  <c r="AB203" i="31"/>
  <c r="AC205" i="31"/>
  <c r="AA206" i="31"/>
  <c r="AB208" i="31"/>
  <c r="AA208" i="31"/>
  <c r="AB211" i="31"/>
  <c r="AC213" i="31"/>
  <c r="AA214" i="31"/>
  <c r="AB216" i="31"/>
  <c r="AA216" i="31"/>
  <c r="AA219" i="31"/>
  <c r="AB219" i="31"/>
  <c r="AC221" i="31"/>
  <c r="AA222" i="31"/>
  <c r="AB224" i="31"/>
  <c r="AA224" i="31"/>
  <c r="AB227" i="31"/>
  <c r="EA87" i="32"/>
  <c r="DW87" i="32"/>
  <c r="DS87" i="32"/>
  <c r="DO87" i="32"/>
  <c r="DK87" i="32"/>
  <c r="DG87" i="32"/>
  <c r="DZ87" i="32"/>
  <c r="DV87" i="32"/>
  <c r="DR87" i="32"/>
  <c r="DN87" i="32"/>
  <c r="DJ87" i="32"/>
  <c r="DF87" i="32"/>
  <c r="DY87" i="32"/>
  <c r="DQ87" i="32"/>
  <c r="DI87" i="32"/>
  <c r="DX87" i="32"/>
  <c r="DP87" i="32"/>
  <c r="DH87" i="32"/>
  <c r="DU87" i="32"/>
  <c r="DM87" i="32"/>
  <c r="DE87" i="32"/>
  <c r="AC97" i="31"/>
  <c r="AG97" i="31"/>
  <c r="AK97" i="31"/>
  <c r="AO97" i="31"/>
  <c r="AS97" i="31"/>
  <c r="AW97" i="31"/>
  <c r="BA97" i="31"/>
  <c r="BE97" i="31"/>
  <c r="BI97" i="31"/>
  <c r="BM97" i="31"/>
  <c r="BQ97" i="31"/>
  <c r="AC99" i="31"/>
  <c r="AG99" i="31"/>
  <c r="AK99" i="31"/>
  <c r="AO99" i="31"/>
  <c r="AS99" i="31"/>
  <c r="AW99" i="31"/>
  <c r="BA99" i="31"/>
  <c r="BE99" i="31"/>
  <c r="BI99" i="31"/>
  <c r="BM99" i="31"/>
  <c r="BQ99" i="31"/>
  <c r="AB103" i="31"/>
  <c r="AF103" i="31"/>
  <c r="AJ103" i="31"/>
  <c r="AN103" i="31"/>
  <c r="AR103" i="31"/>
  <c r="AV103" i="31"/>
  <c r="AZ103" i="31"/>
  <c r="BD103" i="31"/>
  <c r="BH103" i="31"/>
  <c r="BL103" i="31"/>
  <c r="BP103" i="31"/>
  <c r="BT103" i="31"/>
  <c r="AB105" i="31"/>
  <c r="AF105" i="31"/>
  <c r="AJ105" i="31"/>
  <c r="AN105" i="31"/>
  <c r="AR105" i="31"/>
  <c r="AV105" i="31"/>
  <c r="AZ105" i="31"/>
  <c r="BD105" i="31"/>
  <c r="BH105" i="31"/>
  <c r="BL105" i="31"/>
  <c r="BP105" i="31"/>
  <c r="BT105" i="31"/>
  <c r="AC107" i="31"/>
  <c r="AK107" i="31"/>
  <c r="AS107" i="31"/>
  <c r="BA107" i="31"/>
  <c r="BI107" i="31"/>
  <c r="T132" i="31"/>
  <c r="K110" i="31" s="1"/>
  <c r="T133" i="31"/>
  <c r="W166" i="31"/>
  <c r="AB175" i="31"/>
  <c r="AI190" i="31"/>
  <c r="W190" i="31"/>
  <c r="V190" i="31"/>
  <c r="AJ190" i="31"/>
  <c r="AI198" i="31"/>
  <c r="W198" i="31"/>
  <c r="V198" i="31"/>
  <c r="AJ198" i="31"/>
  <c r="AI206" i="31"/>
  <c r="W206" i="31"/>
  <c r="V206" i="31"/>
  <c r="AJ206" i="31"/>
  <c r="AI214" i="31"/>
  <c r="W214" i="31"/>
  <c r="V214" i="31"/>
  <c r="AJ214" i="31"/>
  <c r="AI222" i="31"/>
  <c r="W222" i="31"/>
  <c r="V222" i="31"/>
  <c r="AJ222" i="31"/>
  <c r="C188" i="32"/>
  <c r="D188" i="32" s="1"/>
  <c r="T275" i="31"/>
  <c r="X275" i="31" s="1"/>
  <c r="X236" i="31"/>
  <c r="C309" i="32" s="1"/>
  <c r="DC98" i="32"/>
  <c r="DC87" i="32"/>
  <c r="DC151" i="32" s="1"/>
  <c r="DC75" i="32"/>
  <c r="DC109" i="32" s="1"/>
  <c r="BZ129" i="32"/>
  <c r="BZ106" i="32"/>
  <c r="BZ95" i="32"/>
  <c r="BZ158" i="32" s="1"/>
  <c r="BZ84" i="32"/>
  <c r="BZ117" i="32" s="1"/>
  <c r="EA91" i="32"/>
  <c r="DW91" i="32"/>
  <c r="DS91" i="32"/>
  <c r="DO91" i="32"/>
  <c r="DK91" i="32"/>
  <c r="DG91" i="32"/>
  <c r="DZ91" i="32"/>
  <c r="DV91" i="32"/>
  <c r="DR91" i="32"/>
  <c r="DN91" i="32"/>
  <c r="DJ91" i="32"/>
  <c r="DF91" i="32"/>
  <c r="DY91" i="32"/>
  <c r="DQ91" i="32"/>
  <c r="DI91" i="32"/>
  <c r="DX91" i="32"/>
  <c r="DP91" i="32"/>
  <c r="DH91" i="32"/>
  <c r="DU91" i="32"/>
  <c r="DM91" i="32"/>
  <c r="DE91" i="32"/>
  <c r="AC103" i="31"/>
  <c r="AG103" i="31"/>
  <c r="AK103" i="31"/>
  <c r="AO103" i="31"/>
  <c r="AS103" i="31"/>
  <c r="AW103" i="31"/>
  <c r="BA103" i="31"/>
  <c r="BE103" i="31"/>
  <c r="BI103" i="31"/>
  <c r="BM103" i="31"/>
  <c r="BQ103" i="31"/>
  <c r="AC105" i="31"/>
  <c r="AG105" i="31"/>
  <c r="AK105" i="31"/>
  <c r="AO105" i="31"/>
  <c r="AS105" i="31"/>
  <c r="AW105" i="31"/>
  <c r="BA105" i="31"/>
  <c r="BE105" i="31"/>
  <c r="BI105" i="31"/>
  <c r="BQ105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F107" i="31"/>
  <c r="AN107" i="31"/>
  <c r="AV107" i="31"/>
  <c r="BD107" i="31"/>
  <c r="BL107" i="31"/>
  <c r="BT107" i="31"/>
  <c r="V135" i="31"/>
  <c r="W135" i="31" s="1"/>
  <c r="V136" i="31"/>
  <c r="W136" i="31" s="1"/>
  <c r="J130" i="31"/>
  <c r="V132" i="31"/>
  <c r="W132" i="31" s="1"/>
  <c r="V133" i="31"/>
  <c r="W133" i="31" s="1"/>
  <c r="AI146" i="31"/>
  <c r="AI172" i="31"/>
  <c r="AE172" i="31"/>
  <c r="W172" i="31"/>
  <c r="V172" i="31"/>
  <c r="AJ172" i="31"/>
  <c r="AA174" i="31"/>
  <c r="AB174" i="31"/>
  <c r="AC175" i="31"/>
  <c r="AB177" i="31"/>
  <c r="AA177" i="31"/>
  <c r="AC177" i="31"/>
  <c r="AC179" i="31"/>
  <c r="AE179" i="31" s="1"/>
  <c r="AB183" i="31"/>
  <c r="AA188" i="31"/>
  <c r="U190" i="31"/>
  <c r="AA191" i="31"/>
  <c r="AB191" i="31"/>
  <c r="AC193" i="31"/>
  <c r="AB196" i="31"/>
  <c r="AA196" i="31"/>
  <c r="AC196" i="31"/>
  <c r="AJ197" i="31"/>
  <c r="U198" i="31"/>
  <c r="AA199" i="31"/>
  <c r="AB199" i="31"/>
  <c r="AA202" i="31"/>
  <c r="AD202" i="31" s="1"/>
  <c r="AH202" i="31" s="1"/>
  <c r="AB204" i="31"/>
  <c r="AA204" i="31"/>
  <c r="AC204" i="31"/>
  <c r="U206" i="31"/>
  <c r="AB207" i="31"/>
  <c r="AA210" i="31"/>
  <c r="AB212" i="31"/>
  <c r="AA212" i="31"/>
  <c r="AC212" i="31"/>
  <c r="U214" i="31"/>
  <c r="AA215" i="31"/>
  <c r="AC217" i="31"/>
  <c r="AA218" i="31"/>
  <c r="AD218" i="31" s="1"/>
  <c r="AH218" i="31" s="1"/>
  <c r="AB220" i="31"/>
  <c r="AA220" i="31"/>
  <c r="AC220" i="31"/>
  <c r="U222" i="31"/>
  <c r="AA223" i="31"/>
  <c r="AC225" i="31"/>
  <c r="AA226" i="31"/>
  <c r="S228" i="31"/>
  <c r="DT87" i="32"/>
  <c r="DL91" i="32"/>
  <c r="X133" i="31"/>
  <c r="Y133" i="31" s="1"/>
  <c r="Z136" i="31"/>
  <c r="AA136" i="31" s="1"/>
  <c r="AB179" i="31"/>
  <c r="AB180" i="31"/>
  <c r="AB181" i="31"/>
  <c r="AB185" i="31"/>
  <c r="AB189" i="31"/>
  <c r="AB193" i="31"/>
  <c r="AB197" i="31"/>
  <c r="AB201" i="31"/>
  <c r="AB205" i="31"/>
  <c r="AB213" i="31"/>
  <c r="AB217" i="31"/>
  <c r="AB221" i="31"/>
  <c r="AB225" i="31"/>
  <c r="Z256" i="31"/>
  <c r="Z257" i="31"/>
  <c r="Z258" i="31"/>
  <c r="Z259" i="31"/>
  <c r="BZ125" i="32"/>
  <c r="BZ102" i="32"/>
  <c r="BZ126" i="32"/>
  <c r="BZ92" i="32"/>
  <c r="BZ156" i="32" s="1"/>
  <c r="DC106" i="32"/>
  <c r="DC129" i="32"/>
  <c r="DC95" i="32"/>
  <c r="DC158" i="32" s="1"/>
  <c r="BZ85" i="32"/>
  <c r="BZ118" i="32" s="1"/>
  <c r="BR87" i="32"/>
  <c r="BN87" i="32"/>
  <c r="BJ87" i="32"/>
  <c r="BF87" i="32"/>
  <c r="BB87" i="32"/>
  <c r="AX87" i="32"/>
  <c r="BQ87" i="32"/>
  <c r="BM87" i="32"/>
  <c r="BI87" i="32"/>
  <c r="BE87" i="32"/>
  <c r="BA87" i="32"/>
  <c r="AW87" i="32"/>
  <c r="BC87" i="32"/>
  <c r="BK87" i="32"/>
  <c r="BS87" i="32"/>
  <c r="CD87" i="32"/>
  <c r="CL87" i="32"/>
  <c r="CT87" i="32"/>
  <c r="AY88" i="32"/>
  <c r="BG88" i="32"/>
  <c r="BO88" i="32"/>
  <c r="CV88" i="32"/>
  <c r="CH88" i="32"/>
  <c r="CP88" i="32"/>
  <c r="CX88" i="32"/>
  <c r="DI88" i="32"/>
  <c r="DQ88" i="32"/>
  <c r="BR89" i="32"/>
  <c r="BN89" i="32"/>
  <c r="BJ89" i="32"/>
  <c r="BF89" i="32"/>
  <c r="BB89" i="32"/>
  <c r="AX89" i="32"/>
  <c r="BQ89" i="32"/>
  <c r="BM89" i="32"/>
  <c r="BI89" i="32"/>
  <c r="BE89" i="32"/>
  <c r="BA89" i="32"/>
  <c r="AW89" i="32"/>
  <c r="BC89" i="32"/>
  <c r="BK89" i="32"/>
  <c r="BS89" i="32"/>
  <c r="CD89" i="32"/>
  <c r="CL89" i="32"/>
  <c r="CT89" i="32"/>
  <c r="AY90" i="32"/>
  <c r="BG90" i="32"/>
  <c r="BO90" i="32"/>
  <c r="CV90" i="32"/>
  <c r="CH90" i="32"/>
  <c r="CP90" i="32"/>
  <c r="CX90" i="32"/>
  <c r="DI90" i="32"/>
  <c r="DQ90" i="32"/>
  <c r="BR91" i="32"/>
  <c r="BN91" i="32"/>
  <c r="BJ91" i="32"/>
  <c r="BF91" i="32"/>
  <c r="BB91" i="32"/>
  <c r="AX91" i="32"/>
  <c r="BQ91" i="32"/>
  <c r="BM91" i="32"/>
  <c r="BI91" i="32"/>
  <c r="BE91" i="32"/>
  <c r="BA91" i="32"/>
  <c r="AW91" i="32"/>
  <c r="BC91" i="32"/>
  <c r="BK91" i="32"/>
  <c r="BS91" i="32"/>
  <c r="CD91" i="32"/>
  <c r="CL91" i="32"/>
  <c r="CT91" i="32"/>
  <c r="AY92" i="32"/>
  <c r="BG92" i="32"/>
  <c r="BO92" i="32"/>
  <c r="CG92" i="32"/>
  <c r="CW92" i="32"/>
  <c r="BG93" i="32"/>
  <c r="EA93" i="32"/>
  <c r="DW93" i="32"/>
  <c r="DS93" i="32"/>
  <c r="DO93" i="32"/>
  <c r="DK93" i="32"/>
  <c r="DG93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DT93" i="32"/>
  <c r="H138" i="32"/>
  <c r="C113" i="32"/>
  <c r="D113" i="32" s="1"/>
  <c r="H134" i="32"/>
  <c r="H129" i="32"/>
  <c r="C119" i="32"/>
  <c r="D119" i="32" s="1"/>
  <c r="C122" i="32"/>
  <c r="D122" i="32" s="1"/>
  <c r="C110" i="32"/>
  <c r="L138" i="32"/>
  <c r="L129" i="32"/>
  <c r="L134" i="32"/>
  <c r="P138" i="32"/>
  <c r="P134" i="32"/>
  <c r="P129" i="32"/>
  <c r="T138" i="32"/>
  <c r="T129" i="32"/>
  <c r="T134" i="32"/>
  <c r="X134" i="32"/>
  <c r="X129" i="32"/>
  <c r="X138" i="32"/>
  <c r="AB138" i="32"/>
  <c r="AB129" i="32"/>
  <c r="AB134" i="32"/>
  <c r="AT157" i="32"/>
  <c r="AT71" i="32"/>
  <c r="CI95" i="32"/>
  <c r="CY95" i="32"/>
  <c r="C120" i="32"/>
  <c r="D120" i="32" s="1"/>
  <c r="C116" i="32"/>
  <c r="D116" i="32" s="1"/>
  <c r="DC124" i="32"/>
  <c r="DC90" i="32"/>
  <c r="DC154" i="32" s="1"/>
  <c r="DC101" i="32"/>
  <c r="DC102" i="32"/>
  <c r="DC91" i="32"/>
  <c r="DC155" i="32" s="1"/>
  <c r="DC125" i="32"/>
  <c r="DC128" i="32"/>
  <c r="DC82" i="32"/>
  <c r="DC116" i="32" s="1"/>
  <c r="DC105" i="32"/>
  <c r="AZ88" i="32"/>
  <c r="BH88" i="32"/>
  <c r="BP88" i="32"/>
  <c r="CC88" i="32"/>
  <c r="CK88" i="32"/>
  <c r="EA88" i="32"/>
  <c r="DW88" i="32"/>
  <c r="DS88" i="32"/>
  <c r="DO88" i="32"/>
  <c r="DK88" i="32"/>
  <c r="DG88" i="32"/>
  <c r="DZ88" i="32"/>
  <c r="DV88" i="32"/>
  <c r="DR88" i="32"/>
  <c r="DN88" i="32"/>
  <c r="DJ88" i="32"/>
  <c r="DF88" i="32"/>
  <c r="DL88" i="32"/>
  <c r="DT88" i="32"/>
  <c r="EB88" i="32"/>
  <c r="AZ90" i="32"/>
  <c r="BH90" i="32"/>
  <c r="BP90" i="32"/>
  <c r="CC90" i="32"/>
  <c r="CK90" i="32"/>
  <c r="EA90" i="32"/>
  <c r="DW90" i="32"/>
  <c r="DS90" i="32"/>
  <c r="DO90" i="32"/>
  <c r="DK90" i="32"/>
  <c r="DG90" i="32"/>
  <c r="DZ90" i="32"/>
  <c r="DV90" i="32"/>
  <c r="DR90" i="32"/>
  <c r="DN90" i="32"/>
  <c r="DJ90" i="32"/>
  <c r="DF90" i="32"/>
  <c r="DL90" i="32"/>
  <c r="DT90" i="32"/>
  <c r="EB90" i="32"/>
  <c r="BZ91" i="32"/>
  <c r="BZ155" i="32" s="1"/>
  <c r="AZ92" i="32"/>
  <c r="BH92" i="32"/>
  <c r="BS92" i="32"/>
  <c r="EA92" i="32"/>
  <c r="DW92" i="32"/>
  <c r="DS92" i="32"/>
  <c r="DO92" i="32"/>
  <c r="DK92" i="32"/>
  <c r="DG92" i="32"/>
  <c r="DZ92" i="32"/>
  <c r="DV92" i="32"/>
  <c r="DR92" i="32"/>
  <c r="DN92" i="32"/>
  <c r="DJ92" i="32"/>
  <c r="DF92" i="32"/>
  <c r="DY92" i="32"/>
  <c r="DU92" i="32"/>
  <c r="DQ92" i="32"/>
  <c r="DM92" i="32"/>
  <c r="DI92" i="32"/>
  <c r="DE92" i="32"/>
  <c r="DT92" i="32"/>
  <c r="BR93" i="32"/>
  <c r="BN93" i="32"/>
  <c r="BJ93" i="32"/>
  <c r="BF93" i="32"/>
  <c r="BB93" i="32"/>
  <c r="AX93" i="32"/>
  <c r="BQ93" i="32"/>
  <c r="BM93" i="32"/>
  <c r="BI93" i="32"/>
  <c r="BE93" i="32"/>
  <c r="BA93" i="32"/>
  <c r="AW93" i="32"/>
  <c r="CX93" i="32"/>
  <c r="CT93" i="32"/>
  <c r="CP93" i="32"/>
  <c r="CL93" i="32"/>
  <c r="CH93" i="32"/>
  <c r="CD93" i="32"/>
  <c r="BP93" i="32"/>
  <c r="BL93" i="32"/>
  <c r="BH93" i="32"/>
  <c r="BD93" i="32"/>
  <c r="AZ93" i="32"/>
  <c r="AV93" i="32"/>
  <c r="BK93" i="32"/>
  <c r="CV93" i="32"/>
  <c r="CO93" i="32"/>
  <c r="BZ103" i="32"/>
  <c r="BZ121" i="32"/>
  <c r="BZ98" i="32"/>
  <c r="BZ122" i="32"/>
  <c r="BZ99" i="32"/>
  <c r="BZ107" i="32"/>
  <c r="BZ130" i="32"/>
  <c r="BZ76" i="32"/>
  <c r="BZ110" i="32" s="1"/>
  <c r="BR88" i="32"/>
  <c r="BN88" i="32"/>
  <c r="BJ88" i="32"/>
  <c r="BF88" i="32"/>
  <c r="BB88" i="32"/>
  <c r="AX88" i="32"/>
  <c r="BQ88" i="32"/>
  <c r="BM88" i="32"/>
  <c r="BI88" i="32"/>
  <c r="BE88" i="32"/>
  <c r="BA88" i="32"/>
  <c r="AW88" i="32"/>
  <c r="BC88" i="32"/>
  <c r="BK88" i="32"/>
  <c r="BS88" i="32"/>
  <c r="CD88" i="32"/>
  <c r="CL88" i="32"/>
  <c r="CT88" i="32"/>
  <c r="BR90" i="32"/>
  <c r="BN90" i="32"/>
  <c r="BJ90" i="32"/>
  <c r="BF90" i="32"/>
  <c r="BB90" i="32"/>
  <c r="AX90" i="32"/>
  <c r="BQ90" i="32"/>
  <c r="BM90" i="32"/>
  <c r="BI90" i="32"/>
  <c r="BE90" i="32"/>
  <c r="BA90" i="32"/>
  <c r="AW90" i="32"/>
  <c r="BC90" i="32"/>
  <c r="BK90" i="32"/>
  <c r="BS90" i="32"/>
  <c r="CD90" i="32"/>
  <c r="CL90" i="32"/>
  <c r="CT90" i="32"/>
  <c r="BR92" i="32"/>
  <c r="BN92" i="32"/>
  <c r="BJ92" i="32"/>
  <c r="BF92" i="32"/>
  <c r="BB92" i="32"/>
  <c r="AX92" i="32"/>
  <c r="BQ92" i="32"/>
  <c r="BM92" i="32"/>
  <c r="BI92" i="32"/>
  <c r="BE92" i="32"/>
  <c r="BA92" i="32"/>
  <c r="AW92" i="32"/>
  <c r="CX92" i="32"/>
  <c r="CT92" i="32"/>
  <c r="CP92" i="32"/>
  <c r="CL92" i="32"/>
  <c r="CH92" i="32"/>
  <c r="CD92" i="32"/>
  <c r="BP92" i="32"/>
  <c r="BC92" i="32"/>
  <c r="BK92" i="32"/>
  <c r="CV92" i="32"/>
  <c r="CO92" i="32"/>
  <c r="CX95" i="32"/>
  <c r="CT95" i="32"/>
  <c r="CP95" i="32"/>
  <c r="CL95" i="32"/>
  <c r="CH95" i="32"/>
  <c r="CD95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Q95" i="32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AY94" i="32"/>
  <c r="BC94" i="32"/>
  <c r="BG94" i="32"/>
  <c r="BK94" i="32"/>
  <c r="BO94" i="32"/>
  <c r="BS94" i="32"/>
  <c r="CC94" i="32"/>
  <c r="CG94" i="32"/>
  <c r="CK94" i="32"/>
  <c r="CO94" i="32"/>
  <c r="CS94" i="32"/>
  <c r="CW94" i="32"/>
  <c r="DH94" i="32"/>
  <c r="DL94" i="32"/>
  <c r="DP94" i="32"/>
  <c r="DT94" i="32"/>
  <c r="DX94" i="32"/>
  <c r="EB94" i="32"/>
  <c r="CE96" i="32"/>
  <c r="CI96" i="32"/>
  <c r="CM96" i="32"/>
  <c r="CQ96" i="32"/>
  <c r="CU96" i="32"/>
  <c r="CY96" i="32"/>
  <c r="BZ101" i="32"/>
  <c r="I130" i="32"/>
  <c r="Q130" i="32"/>
  <c r="Y130" i="32"/>
  <c r="DC123" i="32"/>
  <c r="DC168" i="32"/>
  <c r="DC133" i="32"/>
  <c r="BZ123" i="32"/>
  <c r="BZ100" i="32"/>
  <c r="DC126" i="32"/>
  <c r="DC103" i="32"/>
  <c r="BZ127" i="32"/>
  <c r="BZ104" i="32"/>
  <c r="DC176" i="32"/>
  <c r="DC141" i="32"/>
  <c r="DC76" i="32"/>
  <c r="DC110" i="32" s="1"/>
  <c r="BZ77" i="32"/>
  <c r="BZ111" i="32" s="1"/>
  <c r="DC80" i="32"/>
  <c r="DC114" i="32" s="1"/>
  <c r="BZ81" i="32"/>
  <c r="BZ115" i="32" s="1"/>
  <c r="BZ82" i="32"/>
  <c r="BZ116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CE91" i="32"/>
  <c r="CI91" i="32"/>
  <c r="CM91" i="32"/>
  <c r="CQ91" i="32"/>
  <c r="CU91" i="32"/>
  <c r="CY91" i="32"/>
  <c r="CE92" i="32"/>
  <c r="CI92" i="32"/>
  <c r="CM92" i="32"/>
  <c r="CQ92" i="32"/>
  <c r="CU92" i="32"/>
  <c r="CY92" i="32"/>
  <c r="CE93" i="32"/>
  <c r="CI93" i="32"/>
  <c r="CM93" i="32"/>
  <c r="CQ93" i="32"/>
  <c r="CU93" i="32"/>
  <c r="CY93" i="32"/>
  <c r="J138" i="32"/>
  <c r="J134" i="32"/>
  <c r="N138" i="32"/>
  <c r="N134" i="32"/>
  <c r="R138" i="32"/>
  <c r="R134" i="32"/>
  <c r="R137" i="32" s="1"/>
  <c r="V134" i="32"/>
  <c r="Z138" i="32"/>
  <c r="Z134" i="32"/>
  <c r="AD138" i="32"/>
  <c r="AD134" i="32"/>
  <c r="AV94" i="32"/>
  <c r="AZ94" i="32"/>
  <c r="BD94" i="32"/>
  <c r="BH94" i="32"/>
  <c r="BL94" i="32"/>
  <c r="BP94" i="32"/>
  <c r="CD94" i="32"/>
  <c r="CH94" i="32"/>
  <c r="CL94" i="32"/>
  <c r="CP94" i="32"/>
  <c r="CT94" i="32"/>
  <c r="CX94" i="32"/>
  <c r="DE94" i="32"/>
  <c r="DI94" i="32"/>
  <c r="DM94" i="32"/>
  <c r="DQ94" i="32"/>
  <c r="DU94" i="32"/>
  <c r="DY94" i="32"/>
  <c r="AY95" i="32"/>
  <c r="BC95" i="32"/>
  <c r="BG95" i="32"/>
  <c r="BK95" i="32"/>
  <c r="BO95" i="32"/>
  <c r="BS95" i="32"/>
  <c r="DH95" i="32"/>
  <c r="DL95" i="32"/>
  <c r="DP95" i="32"/>
  <c r="DT95" i="32"/>
  <c r="DX95" i="32"/>
  <c r="EB95" i="32"/>
  <c r="CB96" i="32"/>
  <c r="CF96" i="32"/>
  <c r="CJ96" i="32"/>
  <c r="CN96" i="32"/>
  <c r="CR96" i="32"/>
  <c r="CV96" i="32"/>
  <c r="DC96" i="32"/>
  <c r="DC159" i="32" s="1"/>
  <c r="DC99" i="32"/>
  <c r="J139" i="32"/>
  <c r="J135" i="32"/>
  <c r="J130" i="32"/>
  <c r="N135" i="32"/>
  <c r="N139" i="32"/>
  <c r="N130" i="32"/>
  <c r="R135" i="32"/>
  <c r="R139" i="32"/>
  <c r="R130" i="32"/>
  <c r="V135" i="32"/>
  <c r="V130" i="32"/>
  <c r="V139" i="32"/>
  <c r="V141" i="32" s="1"/>
  <c r="Z139" i="32"/>
  <c r="Z135" i="32"/>
  <c r="Z130" i="32"/>
  <c r="AD135" i="32"/>
  <c r="AD139" i="32"/>
  <c r="AD130" i="32"/>
  <c r="L140" i="32"/>
  <c r="T131" i="32"/>
  <c r="AB131" i="32"/>
  <c r="V129" i="32"/>
  <c r="BZ170" i="32"/>
  <c r="BZ135" i="32"/>
  <c r="DC127" i="32"/>
  <c r="DC104" i="32"/>
  <c r="BZ105" i="32"/>
  <c r="BZ128" i="32"/>
  <c r="AT72" i="32"/>
  <c r="DC77" i="32"/>
  <c r="DC111" i="32" s="1"/>
  <c r="BZ78" i="32"/>
  <c r="BZ112" i="32" s="1"/>
  <c r="DC81" i="32"/>
  <c r="DC115" i="32" s="1"/>
  <c r="AT84" i="32"/>
  <c r="CB87" i="32"/>
  <c r="CF87" i="32"/>
  <c r="CJ87" i="32"/>
  <c r="CN87" i="32"/>
  <c r="CR87" i="32"/>
  <c r="CB88" i="32"/>
  <c r="CF88" i="32"/>
  <c r="CJ88" i="32"/>
  <c r="CN88" i="32"/>
  <c r="CR88" i="32"/>
  <c r="DC88" i="32"/>
  <c r="DC152" i="32" s="1"/>
  <c r="CB89" i="32"/>
  <c r="CF89" i="32"/>
  <c r="CJ89" i="32"/>
  <c r="CN89" i="32"/>
  <c r="CR89" i="32"/>
  <c r="DC89" i="32"/>
  <c r="DC153" i="32" s="1"/>
  <c r="CB90" i="32"/>
  <c r="CF90" i="32"/>
  <c r="CJ90" i="32"/>
  <c r="CN90" i="32"/>
  <c r="CR90" i="32"/>
  <c r="CB91" i="32"/>
  <c r="CF91" i="32"/>
  <c r="CJ91" i="32"/>
  <c r="CN91" i="32"/>
  <c r="CR91" i="32"/>
  <c r="CB92" i="32"/>
  <c r="CF92" i="32"/>
  <c r="CJ92" i="32"/>
  <c r="CN92" i="32"/>
  <c r="CR92" i="32"/>
  <c r="DC92" i="32"/>
  <c r="DC156" i="32" s="1"/>
  <c r="CB93" i="32"/>
  <c r="CF93" i="32"/>
  <c r="CJ93" i="32"/>
  <c r="CN93" i="32"/>
  <c r="CR93" i="32"/>
  <c r="DC93" i="32"/>
  <c r="K134" i="32"/>
  <c r="K129" i="32"/>
  <c r="O138" i="32"/>
  <c r="O134" i="32"/>
  <c r="O129" i="32"/>
  <c r="S134" i="32"/>
  <c r="S138" i="32"/>
  <c r="S129" i="32"/>
  <c r="W134" i="32"/>
  <c r="W138" i="32"/>
  <c r="W129" i="32"/>
  <c r="AA134" i="32"/>
  <c r="AA138" i="32"/>
  <c r="AA129" i="32"/>
  <c r="AE138" i="32"/>
  <c r="AE134" i="32"/>
  <c r="AE129" i="32"/>
  <c r="AW94" i="32"/>
  <c r="BA94" i="32"/>
  <c r="BE94" i="32"/>
  <c r="BI94" i="32"/>
  <c r="BM94" i="32"/>
  <c r="CE94" i="32"/>
  <c r="CI94" i="32"/>
  <c r="CM94" i="32"/>
  <c r="CQ94" i="32"/>
  <c r="CU94" i="32"/>
  <c r="DF94" i="32"/>
  <c r="DJ94" i="32"/>
  <c r="DN94" i="32"/>
  <c r="DR94" i="32"/>
  <c r="DV94" i="32"/>
  <c r="AV95" i="32"/>
  <c r="AZ95" i="32"/>
  <c r="BD95" i="32"/>
  <c r="BH95" i="32"/>
  <c r="BL95" i="32"/>
  <c r="DE95" i="32"/>
  <c r="DI95" i="32"/>
  <c r="DM95" i="32"/>
  <c r="DQ95" i="32"/>
  <c r="DU95" i="32"/>
  <c r="AY96" i="32"/>
  <c r="BC96" i="32"/>
  <c r="BG96" i="32"/>
  <c r="BK96" i="32"/>
  <c r="BO96" i="32"/>
  <c r="CC96" i="32"/>
  <c r="CG96" i="32"/>
  <c r="CK96" i="32"/>
  <c r="CO96" i="32"/>
  <c r="CS96" i="32"/>
  <c r="DH96" i="32"/>
  <c r="DL96" i="32"/>
  <c r="DP96" i="32"/>
  <c r="DT96" i="32"/>
  <c r="DX96" i="32"/>
  <c r="CD160" i="32"/>
  <c r="CD161" i="32" s="1"/>
  <c r="CD162" i="32" s="1"/>
  <c r="DC107" i="32"/>
  <c r="I136" i="32"/>
  <c r="I140" i="32"/>
  <c r="I131" i="32"/>
  <c r="C115" i="32"/>
  <c r="D115" i="32" s="1"/>
  <c r="C124" i="32"/>
  <c r="D124" i="32" s="1"/>
  <c r="C112" i="32"/>
  <c r="M136" i="32"/>
  <c r="M140" i="32"/>
  <c r="M131" i="32"/>
  <c r="Q136" i="32"/>
  <c r="Q131" i="32"/>
  <c r="Q140" i="32"/>
  <c r="U140" i="32"/>
  <c r="U136" i="32"/>
  <c r="U131" i="32"/>
  <c r="Y136" i="32"/>
  <c r="Y140" i="32"/>
  <c r="Y131" i="32"/>
  <c r="AC136" i="32"/>
  <c r="AC140" i="32"/>
  <c r="AC131" i="32"/>
  <c r="J129" i="32"/>
  <c r="Z129" i="32"/>
  <c r="K138" i="32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C114" i="32"/>
  <c r="D114" i="32" s="1"/>
  <c r="J140" i="32"/>
  <c r="N140" i="32"/>
  <c r="R140" i="32"/>
  <c r="Z140" i="32"/>
  <c r="AD140" i="32"/>
  <c r="O130" i="32"/>
  <c r="W130" i="32"/>
  <c r="AE130" i="32"/>
  <c r="J131" i="32"/>
  <c r="R131" i="32"/>
  <c r="Z131" i="32"/>
  <c r="I135" i="32"/>
  <c r="Q135" i="32"/>
  <c r="Y135" i="32"/>
  <c r="L136" i="32"/>
  <c r="T136" i="32"/>
  <c r="AB136" i="32"/>
  <c r="AB140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H139" i="32"/>
  <c r="H130" i="32"/>
  <c r="H135" i="32"/>
  <c r="L139" i="32"/>
  <c r="L130" i="32"/>
  <c r="L135" i="32"/>
  <c r="P139" i="32"/>
  <c r="P130" i="32"/>
  <c r="P135" i="32"/>
  <c r="T139" i="32"/>
  <c r="T130" i="32"/>
  <c r="T135" i="32"/>
  <c r="X139" i="32"/>
  <c r="X130" i="32"/>
  <c r="X135" i="32"/>
  <c r="AB139" i="32"/>
  <c r="AB130" i="32"/>
  <c r="AB135" i="32"/>
  <c r="K140" i="32"/>
  <c r="K131" i="32"/>
  <c r="K136" i="32"/>
  <c r="O140" i="32"/>
  <c r="O131" i="32"/>
  <c r="O136" i="32"/>
  <c r="S140" i="32"/>
  <c r="S131" i="32"/>
  <c r="S136" i="32"/>
  <c r="W140" i="32"/>
  <c r="W131" i="32"/>
  <c r="W136" i="32"/>
  <c r="AA140" i="32"/>
  <c r="AA131" i="32"/>
  <c r="AA136" i="32"/>
  <c r="AE140" i="32"/>
  <c r="AE131" i="32"/>
  <c r="AE136" i="32"/>
  <c r="C117" i="32"/>
  <c r="D117" i="32" s="1"/>
  <c r="L131" i="32"/>
  <c r="K135" i="32"/>
  <c r="S135" i="32"/>
  <c r="AA135" i="32"/>
  <c r="N136" i="32"/>
  <c r="V136" i="32"/>
  <c r="AD136" i="32"/>
  <c r="AA139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M139" i="32"/>
  <c r="U139" i="32"/>
  <c r="Y139" i="32"/>
  <c r="AC139" i="32"/>
  <c r="C111" i="32"/>
  <c r="H140" i="32"/>
  <c r="P140" i="32"/>
  <c r="T140" i="32"/>
  <c r="X140" i="32"/>
  <c r="C121" i="32"/>
  <c r="D121" i="32" s="1"/>
  <c r="C123" i="32"/>
  <c r="D123" i="32" s="1"/>
  <c r="K130" i="32"/>
  <c r="S130" i="32"/>
  <c r="N131" i="32"/>
  <c r="AD131" i="32"/>
  <c r="M135" i="32"/>
  <c r="U135" i="32"/>
  <c r="AC135" i="32"/>
  <c r="H136" i="32"/>
  <c r="P136" i="32"/>
  <c r="X136" i="32"/>
  <c r="AJ201" i="32"/>
  <c r="AK201" i="32" s="1"/>
  <c r="AP202" i="32"/>
  <c r="AQ202" i="32" s="1"/>
  <c r="AJ203" i="32"/>
  <c r="AK203" i="32" s="1"/>
  <c r="AP204" i="32"/>
  <c r="AQ204" i="32" s="1"/>
  <c r="AJ200" i="32"/>
  <c r="AK200" i="32" s="1"/>
  <c r="AP201" i="32"/>
  <c r="AQ201" i="32" s="1"/>
  <c r="AJ202" i="32"/>
  <c r="AK202" i="32" s="1"/>
  <c r="S11" i="7"/>
  <c r="S9" i="7"/>
  <c r="S8" i="7"/>
  <c r="AG165" i="31" l="1"/>
  <c r="M214" i="29"/>
  <c r="F76" i="30"/>
  <c r="V171" i="31"/>
  <c r="D186" i="32"/>
  <c r="AJ217" i="32" s="1"/>
  <c r="AN217" i="32" s="1"/>
  <c r="D234" i="32"/>
  <c r="D190" i="32"/>
  <c r="AK190" i="32" s="1"/>
  <c r="AO190" i="32" s="1"/>
  <c r="AG189" i="31"/>
  <c r="K214" i="29"/>
  <c r="C189" i="32"/>
  <c r="D189" i="32" s="1"/>
  <c r="AK189" i="32" s="1"/>
  <c r="AO189" i="32" s="1"/>
  <c r="Q72" i="30"/>
  <c r="Q77" i="30" s="1"/>
  <c r="W8" i="29"/>
  <c r="AA72" i="30"/>
  <c r="AA77" i="30" s="1"/>
  <c r="Z72" i="30"/>
  <c r="Z77" i="30" s="1"/>
  <c r="S8" i="29"/>
  <c r="W72" i="30"/>
  <c r="W77" i="30" s="1"/>
  <c r="R72" i="30"/>
  <c r="R77" i="30" s="1"/>
  <c r="Y72" i="30"/>
  <c r="O8" i="29"/>
  <c r="S72" i="30"/>
  <c r="S77" i="30" s="1"/>
  <c r="J72" i="30"/>
  <c r="J77" i="30" s="1"/>
  <c r="I8" i="29"/>
  <c r="M72" i="30"/>
  <c r="M77" i="30" s="1"/>
  <c r="K8" i="29"/>
  <c r="O72" i="30"/>
  <c r="O77" i="30" s="1"/>
  <c r="J19" i="29"/>
  <c r="J6" i="29" s="1"/>
  <c r="J10" i="29" s="1"/>
  <c r="G8" i="29"/>
  <c r="K72" i="30"/>
  <c r="K77" i="30" s="1"/>
  <c r="X8" i="29"/>
  <c r="AB72" i="30"/>
  <c r="AB77" i="30" s="1"/>
  <c r="Q8" i="29"/>
  <c r="U72" i="30"/>
  <c r="U77" i="30" s="1"/>
  <c r="Z8" i="29"/>
  <c r="AD72" i="30"/>
  <c r="AD77" i="30" s="1"/>
  <c r="P8" i="29"/>
  <c r="T72" i="30"/>
  <c r="T77" i="30" s="1"/>
  <c r="I72" i="30"/>
  <c r="R8" i="29"/>
  <c r="V72" i="30"/>
  <c r="V77" i="30" s="1"/>
  <c r="H8" i="29"/>
  <c r="L72" i="30"/>
  <c r="L77" i="30" s="1"/>
  <c r="Y8" i="29"/>
  <c r="AC72" i="30"/>
  <c r="AC77" i="30" s="1"/>
  <c r="W171" i="31"/>
  <c r="AD210" i="31"/>
  <c r="AH210" i="31" s="1"/>
  <c r="V170" i="31"/>
  <c r="C185" i="32"/>
  <c r="O214" i="29"/>
  <c r="J214" i="29"/>
  <c r="D225" i="32"/>
  <c r="AE170" i="31"/>
  <c r="Y214" i="29"/>
  <c r="AD172" i="31"/>
  <c r="AH172" i="31" s="1"/>
  <c r="R214" i="29"/>
  <c r="D214" i="29"/>
  <c r="AA240" i="31"/>
  <c r="AB240" i="31" s="1"/>
  <c r="C310" i="32"/>
  <c r="AD167" i="31"/>
  <c r="AJ167" i="31" s="1"/>
  <c r="AD205" i="28"/>
  <c r="AH205" i="28" s="1"/>
  <c r="B129" i="30"/>
  <c r="AD198" i="28"/>
  <c r="AD182" i="31"/>
  <c r="AH182" i="31" s="1"/>
  <c r="AE165" i="31"/>
  <c r="C279" i="32"/>
  <c r="D15" i="29"/>
  <c r="V8" i="29"/>
  <c r="U8" i="29"/>
  <c r="J8" i="29"/>
  <c r="C8" i="29"/>
  <c r="J17" i="29"/>
  <c r="F8" i="29"/>
  <c r="X17" i="29"/>
  <c r="E8" i="29"/>
  <c r="V17" i="29"/>
  <c r="Y75" i="30"/>
  <c r="M8" i="29"/>
  <c r="N8" i="29"/>
  <c r="AD226" i="31"/>
  <c r="AH226" i="31" s="1"/>
  <c r="AK231" i="32"/>
  <c r="AO231" i="32" s="1"/>
  <c r="AR231" i="32" s="1"/>
  <c r="AS231" i="32" s="1"/>
  <c r="AT231" i="32" s="1"/>
  <c r="AW231" i="32" s="1"/>
  <c r="AF186" i="28"/>
  <c r="AD199" i="31"/>
  <c r="AH199" i="31" s="1"/>
  <c r="AD194" i="28"/>
  <c r="AD190" i="28"/>
  <c r="AH190" i="28" s="1"/>
  <c r="V45" i="31"/>
  <c r="R15" i="29"/>
  <c r="Q214" i="29"/>
  <c r="I214" i="29"/>
  <c r="T15" i="29"/>
  <c r="L17" i="29"/>
  <c r="V166" i="31"/>
  <c r="V164" i="28"/>
  <c r="AD200" i="28"/>
  <c r="AH200" i="28" s="1"/>
  <c r="AD175" i="28"/>
  <c r="AH175" i="28" s="1"/>
  <c r="W164" i="28"/>
  <c r="N214" i="29"/>
  <c r="AF164" i="28"/>
  <c r="AF170" i="31"/>
  <c r="AG170" i="31"/>
  <c r="AG166" i="31"/>
  <c r="AE166" i="31"/>
  <c r="AD182" i="28"/>
  <c r="AH182" i="28" s="1"/>
  <c r="AD183" i="31"/>
  <c r="AH183" i="31" s="1"/>
  <c r="AD186" i="31"/>
  <c r="AI186" i="31" s="1"/>
  <c r="F214" i="29"/>
  <c r="AG186" i="28"/>
  <c r="U186" i="28"/>
  <c r="AH186" i="28"/>
  <c r="V186" i="28"/>
  <c r="AE186" i="28"/>
  <c r="AD170" i="31"/>
  <c r="AF166" i="31"/>
  <c r="AD178" i="28"/>
  <c r="AH178" i="28" s="1"/>
  <c r="BI3" i="29"/>
  <c r="AG164" i="28"/>
  <c r="AE164" i="28"/>
  <c r="AD186" i="28"/>
  <c r="AJ186" i="28" s="1"/>
  <c r="AD207" i="31"/>
  <c r="AH207" i="31" s="1"/>
  <c r="AD191" i="28"/>
  <c r="AH191" i="28" s="1"/>
  <c r="AD227" i="31"/>
  <c r="AH227" i="31" s="1"/>
  <c r="AD176" i="31"/>
  <c r="AH176" i="31" s="1"/>
  <c r="AF187" i="28"/>
  <c r="AG194" i="28"/>
  <c r="AD189" i="28"/>
  <c r="AH189" i="28" s="1"/>
  <c r="AD177" i="28"/>
  <c r="AH177" i="28" s="1"/>
  <c r="AI203" i="28"/>
  <c r="U195" i="28"/>
  <c r="AE187" i="28"/>
  <c r="AD211" i="31"/>
  <c r="AH211" i="31" s="1"/>
  <c r="V187" i="28"/>
  <c r="AJ194" i="28"/>
  <c r="AG179" i="28"/>
  <c r="U187" i="28"/>
  <c r="AD202" i="28"/>
  <c r="AH202" i="28" s="1"/>
  <c r="U194" i="28"/>
  <c r="AI179" i="28"/>
  <c r="W195" i="28"/>
  <c r="AD197" i="28"/>
  <c r="AH197" i="28" s="1"/>
  <c r="V203" i="28"/>
  <c r="V179" i="28"/>
  <c r="AI195" i="28"/>
  <c r="AG195" i="28"/>
  <c r="AE180" i="31"/>
  <c r="AF195" i="28"/>
  <c r="AF203" i="28"/>
  <c r="AJ203" i="28"/>
  <c r="AH194" i="28"/>
  <c r="U179" i="28"/>
  <c r="AE194" i="28"/>
  <c r="AF179" i="28"/>
  <c r="AF194" i="28"/>
  <c r="U203" i="28"/>
  <c r="W194" i="28"/>
  <c r="AD185" i="28"/>
  <c r="AH185" i="28" s="1"/>
  <c r="AE195" i="28"/>
  <c r="AG187" i="28"/>
  <c r="AE222" i="31"/>
  <c r="AE198" i="31"/>
  <c r="AE190" i="31"/>
  <c r="AD219" i="31"/>
  <c r="AH219" i="31" s="1"/>
  <c r="AD179" i="28"/>
  <c r="AH179" i="28" s="1"/>
  <c r="AD193" i="28"/>
  <c r="AH193" i="28" s="1"/>
  <c r="U182" i="28"/>
  <c r="AJ190" i="28"/>
  <c r="W187" i="28"/>
  <c r="AE175" i="28"/>
  <c r="AD201" i="28"/>
  <c r="AH201" i="28" s="1"/>
  <c r="AF190" i="28"/>
  <c r="AF174" i="28"/>
  <c r="AD198" i="31"/>
  <c r="AH198" i="31" s="1"/>
  <c r="AD187" i="31"/>
  <c r="AJ187" i="31" s="1"/>
  <c r="AE174" i="28"/>
  <c r="AF182" i="28"/>
  <c r="AG190" i="28"/>
  <c r="AD181" i="28"/>
  <c r="AH181" i="28" s="1"/>
  <c r="AG174" i="28"/>
  <c r="AD180" i="31"/>
  <c r="AH180" i="31" s="1"/>
  <c r="AD169" i="31"/>
  <c r="AJ169" i="31" s="1"/>
  <c r="AD195" i="28"/>
  <c r="AH195" i="28" s="1"/>
  <c r="AJ182" i="28"/>
  <c r="AH174" i="28"/>
  <c r="AE182" i="28"/>
  <c r="V174" i="28"/>
  <c r="U190" i="28"/>
  <c r="U174" i="28"/>
  <c r="W175" i="28"/>
  <c r="W179" i="28"/>
  <c r="W183" i="28"/>
  <c r="AG175" i="28"/>
  <c r="AI175" i="28"/>
  <c r="AD191" i="31"/>
  <c r="AH191" i="31" s="1"/>
  <c r="AD223" i="31"/>
  <c r="AH223" i="31" s="1"/>
  <c r="AD215" i="31"/>
  <c r="AH215" i="31" s="1"/>
  <c r="AD203" i="31"/>
  <c r="AH203" i="31" s="1"/>
  <c r="AE190" i="28"/>
  <c r="V182" i="28"/>
  <c r="AJ174" i="28"/>
  <c r="AG182" i="28"/>
  <c r="AD173" i="28"/>
  <c r="AH173" i="28" s="1"/>
  <c r="W190" i="28"/>
  <c r="V190" i="28"/>
  <c r="AE179" i="28"/>
  <c r="D17" i="29"/>
  <c r="T17" i="29"/>
  <c r="R17" i="29"/>
  <c r="L15" i="29"/>
  <c r="Y15" i="29"/>
  <c r="H17" i="29"/>
  <c r="Z17" i="29"/>
  <c r="F17" i="29"/>
  <c r="V214" i="29"/>
  <c r="V15" i="29"/>
  <c r="V19" i="29"/>
  <c r="V6" i="29" s="1"/>
  <c r="V10" i="29" s="1"/>
  <c r="N17" i="29"/>
  <c r="X28" i="31"/>
  <c r="AG33" i="31"/>
  <c r="AP29" i="31"/>
  <c r="J35" i="31" s="1"/>
  <c r="C202" i="32" s="1"/>
  <c r="U214" i="29"/>
  <c r="X274" i="31"/>
  <c r="K111" i="31"/>
  <c r="U205" i="31"/>
  <c r="U221" i="31"/>
  <c r="AG221" i="31"/>
  <c r="AE205" i="31"/>
  <c r="AG205" i="31"/>
  <c r="V221" i="31"/>
  <c r="V205" i="31"/>
  <c r="AG186" i="31"/>
  <c r="V186" i="31"/>
  <c r="AE221" i="31"/>
  <c r="AF179" i="31"/>
  <c r="AG179" i="31"/>
  <c r="AJ179" i="31"/>
  <c r="U179" i="31"/>
  <c r="AF185" i="31"/>
  <c r="AD171" i="31"/>
  <c r="AH171" i="31" s="1"/>
  <c r="W182" i="31"/>
  <c r="AE171" i="31"/>
  <c r="AJ217" i="31"/>
  <c r="U217" i="31"/>
  <c r="AG217" i="31"/>
  <c r="AE217" i="31"/>
  <c r="AI185" i="31"/>
  <c r="AE185" i="31"/>
  <c r="AJ185" i="31"/>
  <c r="U185" i="31"/>
  <c r="AG185" i="31"/>
  <c r="V185" i="31"/>
  <c r="AG181" i="31"/>
  <c r="AJ201" i="31"/>
  <c r="AF201" i="31"/>
  <c r="U201" i="31"/>
  <c r="AE189" i="31"/>
  <c r="AI201" i="31"/>
  <c r="AE201" i="31"/>
  <c r="V189" i="31"/>
  <c r="AG201" i="31"/>
  <c r="AD214" i="31"/>
  <c r="AH214" i="31" s="1"/>
  <c r="AD174" i="31"/>
  <c r="AH174" i="31" s="1"/>
  <c r="V201" i="31"/>
  <c r="V181" i="31"/>
  <c r="AJ181" i="31"/>
  <c r="AD222" i="31"/>
  <c r="AH222" i="31" s="1"/>
  <c r="AI181" i="31"/>
  <c r="U181" i="31"/>
  <c r="AE181" i="31"/>
  <c r="V182" i="31"/>
  <c r="U197" i="31"/>
  <c r="U182" i="31"/>
  <c r="AE182" i="31"/>
  <c r="AI197" i="31"/>
  <c r="AG197" i="31"/>
  <c r="AI182" i="31"/>
  <c r="W197" i="31"/>
  <c r="AJ213" i="31"/>
  <c r="V197" i="31"/>
  <c r="U213" i="31"/>
  <c r="AE214" i="31"/>
  <c r="AG213" i="31"/>
  <c r="AE213" i="31"/>
  <c r="AD206" i="31"/>
  <c r="AH206" i="31" s="1"/>
  <c r="AF181" i="31"/>
  <c r="U189" i="31"/>
  <c r="AD165" i="31"/>
  <c r="AD194" i="31"/>
  <c r="AH194" i="31" s="1"/>
  <c r="V225" i="31"/>
  <c r="AE225" i="31"/>
  <c r="AG209" i="31"/>
  <c r="U186" i="31"/>
  <c r="U209" i="31"/>
  <c r="V209" i="31"/>
  <c r="AF186" i="31"/>
  <c r="AD208" i="31"/>
  <c r="AH208" i="31" s="1"/>
  <c r="W186" i="31"/>
  <c r="AD190" i="31"/>
  <c r="AH190" i="31" s="1"/>
  <c r="AE209" i="31"/>
  <c r="AJ225" i="31"/>
  <c r="AD189" i="31"/>
  <c r="AH189" i="31" s="1"/>
  <c r="U225" i="31"/>
  <c r="AE186" i="31"/>
  <c r="AE197" i="31"/>
  <c r="AE206" i="31"/>
  <c r="AD204" i="28"/>
  <c r="AH204" i="28" s="1"/>
  <c r="AD205" i="31"/>
  <c r="AH205" i="31" s="1"/>
  <c r="AD178" i="31"/>
  <c r="AH178" i="31" s="1"/>
  <c r="AD192" i="31"/>
  <c r="AH192" i="31" s="1"/>
  <c r="H59" i="29"/>
  <c r="X57" i="29"/>
  <c r="BN62" i="30"/>
  <c r="BN108" i="30" s="1"/>
  <c r="BN117" i="30" s="1"/>
  <c r="Y5" i="30" s="1"/>
  <c r="AC34" i="28"/>
  <c r="K39" i="28" s="1"/>
  <c r="C96" i="32" s="1"/>
  <c r="H62" i="29"/>
  <c r="H63" i="29" s="1"/>
  <c r="H49" i="29" s="1"/>
  <c r="V132" i="32"/>
  <c r="AD212" i="31"/>
  <c r="AH212" i="31" s="1"/>
  <c r="AD221" i="31"/>
  <c r="AH221" i="31" s="1"/>
  <c r="DT81" i="30"/>
  <c r="DL81" i="30"/>
  <c r="DL85" i="30" s="1"/>
  <c r="BA63" i="30"/>
  <c r="BA109" i="30" s="1"/>
  <c r="BE62" i="30"/>
  <c r="BE108" i="30" s="1"/>
  <c r="BM61" i="30"/>
  <c r="BM107" i="30" s="1"/>
  <c r="H61" i="29"/>
  <c r="H48" i="29" s="1"/>
  <c r="X58" i="29"/>
  <c r="X15" i="29"/>
  <c r="BJ117" i="30"/>
  <c r="U5" i="30" s="1"/>
  <c r="R19" i="29"/>
  <c r="R6" i="29" s="1"/>
  <c r="R10" i="29" s="1"/>
  <c r="F15" i="29"/>
  <c r="P62" i="29"/>
  <c r="P63" i="29" s="1"/>
  <c r="P49" i="29" s="1"/>
  <c r="AJ193" i="31"/>
  <c r="BU108" i="31"/>
  <c r="DT82" i="30"/>
  <c r="DL82" i="30"/>
  <c r="BI61" i="30"/>
  <c r="BI107" i="30" s="1"/>
  <c r="D61" i="29"/>
  <c r="D48" i="29" s="1"/>
  <c r="T58" i="29"/>
  <c r="L57" i="29"/>
  <c r="V58" i="29"/>
  <c r="V60" i="29" s="1"/>
  <c r="V64" i="29" s="1"/>
  <c r="N57" i="29"/>
  <c r="DZ84" i="30"/>
  <c r="DJ81" i="30"/>
  <c r="CP82" i="30"/>
  <c r="BF71" i="30"/>
  <c r="BF81" i="30" s="1"/>
  <c r="F19" i="29"/>
  <c r="F6" i="29" s="1"/>
  <c r="F10" i="29" s="1"/>
  <c r="BD60" i="30"/>
  <c r="BD106" i="30" s="1"/>
  <c r="BD117" i="30" s="1"/>
  <c r="O5" i="30" s="1"/>
  <c r="P17" i="29"/>
  <c r="BK72" i="30"/>
  <c r="BK81" i="30" s="1"/>
  <c r="BC74" i="30"/>
  <c r="AF193" i="31"/>
  <c r="AP108" i="31"/>
  <c r="CA103" i="31" s="1"/>
  <c r="AD197" i="31"/>
  <c r="AH197" i="31" s="1"/>
  <c r="U193" i="31"/>
  <c r="DT84" i="30"/>
  <c r="DL84" i="30"/>
  <c r="X59" i="29"/>
  <c r="X60" i="29" s="1"/>
  <c r="X64" i="29" s="1"/>
  <c r="H57" i="29"/>
  <c r="DN81" i="30"/>
  <c r="DN83" i="30"/>
  <c r="BK62" i="30"/>
  <c r="BK108" i="30" s="1"/>
  <c r="CV81" i="30"/>
  <c r="CF83" i="30"/>
  <c r="N15" i="29"/>
  <c r="BO75" i="30"/>
  <c r="BO81" i="30" s="1"/>
  <c r="K41" i="29"/>
  <c r="K42" i="29" s="1"/>
  <c r="K28" i="29" s="1"/>
  <c r="X62" i="29"/>
  <c r="X63" i="29" s="1"/>
  <c r="X49" i="29" s="1"/>
  <c r="X55" i="29" s="1"/>
  <c r="J132" i="32"/>
  <c r="AE193" i="31"/>
  <c r="AG193" i="31"/>
  <c r="T59" i="29"/>
  <c r="L58" i="29"/>
  <c r="D57" i="29"/>
  <c r="DN84" i="30"/>
  <c r="BG62" i="30"/>
  <c r="BG108" i="30" s="1"/>
  <c r="V59" i="29"/>
  <c r="N58" i="29"/>
  <c r="N60" i="29" s="1"/>
  <c r="N64" i="29" s="1"/>
  <c r="BH61" i="30"/>
  <c r="BH107" i="30" s="1"/>
  <c r="N19" i="29"/>
  <c r="N6" i="29" s="1"/>
  <c r="N10" i="29" s="1"/>
  <c r="K40" i="29"/>
  <c r="K27" i="29" s="1"/>
  <c r="K32" i="29" s="1"/>
  <c r="Y19" i="29"/>
  <c r="Y6" i="29" s="1"/>
  <c r="Y10" i="29" s="1"/>
  <c r="H15" i="29"/>
  <c r="CL82" i="30"/>
  <c r="K38" i="29"/>
  <c r="AD166" i="31"/>
  <c r="AI166" i="31" s="1"/>
  <c r="EB83" i="30"/>
  <c r="L59" i="29"/>
  <c r="DR82" i="30"/>
  <c r="CX82" i="30"/>
  <c r="CH82" i="30"/>
  <c r="D62" i="29"/>
  <c r="D63" i="29" s="1"/>
  <c r="D49" i="29" s="1"/>
  <c r="Z19" i="29"/>
  <c r="Z6" i="29" s="1"/>
  <c r="Z10" i="29" s="1"/>
  <c r="AI170" i="31"/>
  <c r="BS81" i="30"/>
  <c r="BM62" i="30"/>
  <c r="BM108" i="30" s="1"/>
  <c r="BE61" i="30"/>
  <c r="BE107" i="30" s="1"/>
  <c r="BK63" i="30"/>
  <c r="BK109" i="30" s="1"/>
  <c r="BI73" i="30"/>
  <c r="BC72" i="30"/>
  <c r="BI74" i="30"/>
  <c r="BG72" i="30"/>
  <c r="BG83" i="30" s="1"/>
  <c r="BL64" i="30"/>
  <c r="BL110" i="30" s="1"/>
  <c r="BG63" i="30"/>
  <c r="BG109" i="30" s="1"/>
  <c r="BS83" i="30"/>
  <c r="BO83" i="30"/>
  <c r="AY83" i="30"/>
  <c r="Z15" i="29"/>
  <c r="BF108" i="31"/>
  <c r="AZ101" i="31"/>
  <c r="BZ113" i="31" s="1"/>
  <c r="AJ101" i="31"/>
  <c r="BZ97" i="31" s="1"/>
  <c r="AP101" i="31"/>
  <c r="BZ103" i="31" s="1"/>
  <c r="BF101" i="31"/>
  <c r="BV101" i="31"/>
  <c r="AQ101" i="31"/>
  <c r="BZ104" i="31" s="1"/>
  <c r="BG101" i="31"/>
  <c r="BT94" i="31"/>
  <c r="AN94" i="31"/>
  <c r="BY101" i="31" s="1"/>
  <c r="BG94" i="31"/>
  <c r="AD108" i="31"/>
  <c r="CA91" i="31" s="1"/>
  <c r="BJ108" i="31"/>
  <c r="AW108" i="31"/>
  <c r="CA110" i="31" s="1"/>
  <c r="AG108" i="31"/>
  <c r="CA94" i="31" s="1"/>
  <c r="BH101" i="31"/>
  <c r="AB101" i="31"/>
  <c r="BZ89" i="31" s="1"/>
  <c r="BD94" i="31"/>
  <c r="AG29" i="31"/>
  <c r="J37" i="31" s="1"/>
  <c r="C203" i="32" s="1"/>
  <c r="AD132" i="32"/>
  <c r="N132" i="32"/>
  <c r="AO169" i="31"/>
  <c r="C77" i="32" s="1"/>
  <c r="AY108" i="31"/>
  <c r="CA112" i="31" s="1"/>
  <c r="AI108" i="31"/>
  <c r="CA96" i="31" s="1"/>
  <c r="AD179" i="31"/>
  <c r="AH179" i="31" s="1"/>
  <c r="AT108" i="31"/>
  <c r="CA107" i="31" s="1"/>
  <c r="AL108" i="31"/>
  <c r="CA99" i="31" s="1"/>
  <c r="BB108" i="31"/>
  <c r="BR108" i="31"/>
  <c r="AI94" i="31"/>
  <c r="BY96" i="31" s="1"/>
  <c r="AY94" i="31"/>
  <c r="BY112" i="31" s="1"/>
  <c r="CJ117" i="30"/>
  <c r="O6" i="30" s="1"/>
  <c r="AW117" i="30"/>
  <c r="H5" i="30" s="1"/>
  <c r="AD180" i="28"/>
  <c r="AH180" i="28" s="1"/>
  <c r="CF81" i="30"/>
  <c r="Z34" i="28"/>
  <c r="K37" i="28" s="1"/>
  <c r="C93" i="32" s="1"/>
  <c r="G61" i="29"/>
  <c r="G48" i="29" s="1"/>
  <c r="G59" i="29"/>
  <c r="G57" i="29"/>
  <c r="G62" i="29"/>
  <c r="G63" i="29" s="1"/>
  <c r="G49" i="29" s="1"/>
  <c r="G58" i="29"/>
  <c r="R62" i="29"/>
  <c r="R63" i="29" s="1"/>
  <c r="R49" i="29" s="1"/>
  <c r="E61" i="29"/>
  <c r="E48" i="29" s="1"/>
  <c r="E59" i="29"/>
  <c r="E57" i="29"/>
  <c r="E60" i="29" s="1"/>
  <c r="E62" i="29"/>
  <c r="E63" i="29" s="1"/>
  <c r="E49" i="29" s="1"/>
  <c r="E58" i="29"/>
  <c r="L19" i="29"/>
  <c r="L6" i="29" s="1"/>
  <c r="L10" i="29" s="1"/>
  <c r="L16" i="29"/>
  <c r="H19" i="29"/>
  <c r="H6" i="29" s="1"/>
  <c r="H10" i="29" s="1"/>
  <c r="H16" i="29"/>
  <c r="E19" i="29"/>
  <c r="E6" i="29" s="1"/>
  <c r="E10" i="29" s="1"/>
  <c r="E17" i="29"/>
  <c r="E16" i="29"/>
  <c r="E15" i="29"/>
  <c r="Y16" i="29"/>
  <c r="Y17" i="29"/>
  <c r="V16" i="29"/>
  <c r="AF221" i="31"/>
  <c r="W221" i="31"/>
  <c r="AI221" i="31"/>
  <c r="AF213" i="31"/>
  <c r="W213" i="31"/>
  <c r="AI213" i="31"/>
  <c r="AF205" i="31"/>
  <c r="W205" i="31"/>
  <c r="AI205" i="31"/>
  <c r="C104" i="32"/>
  <c r="D104" i="32" s="1"/>
  <c r="AE132" i="32"/>
  <c r="AA141" i="32"/>
  <c r="W137" i="32"/>
  <c r="O132" i="32"/>
  <c r="R132" i="32"/>
  <c r="V137" i="32"/>
  <c r="M141" i="32"/>
  <c r="AB137" i="32"/>
  <c r="X132" i="32"/>
  <c r="AD196" i="31"/>
  <c r="AH196" i="31" s="1"/>
  <c r="AD216" i="31"/>
  <c r="AH216" i="31" s="1"/>
  <c r="BA101" i="31"/>
  <c r="AD217" i="31"/>
  <c r="AH217" i="31" s="1"/>
  <c r="AD193" i="31"/>
  <c r="AH193" i="31" s="1"/>
  <c r="AX108" i="31"/>
  <c r="CA111" i="31" s="1"/>
  <c r="BV108" i="31"/>
  <c r="BU101" i="31"/>
  <c r="BC94" i="31"/>
  <c r="AD94" i="31"/>
  <c r="BY91" i="31" s="1"/>
  <c r="BJ94" i="31"/>
  <c r="DT85" i="30"/>
  <c r="DP85" i="30"/>
  <c r="CF82" i="30"/>
  <c r="CT81" i="30"/>
  <c r="CL81" i="30"/>
  <c r="CD81" i="30"/>
  <c r="BO84" i="30"/>
  <c r="AY84" i="30"/>
  <c r="AA34" i="28"/>
  <c r="K38" i="28" s="1"/>
  <c r="C94" i="32" s="1"/>
  <c r="K62" i="29"/>
  <c r="K63" i="29" s="1"/>
  <c r="K49" i="29" s="1"/>
  <c r="K58" i="29"/>
  <c r="K61" i="29"/>
  <c r="K48" i="29" s="1"/>
  <c r="K59" i="29"/>
  <c r="K57" i="29"/>
  <c r="F62" i="29"/>
  <c r="F63" i="29" s="1"/>
  <c r="F49" i="29" s="1"/>
  <c r="O61" i="29"/>
  <c r="O48" i="29" s="1"/>
  <c r="O59" i="29"/>
  <c r="O57" i="29"/>
  <c r="O62" i="29"/>
  <c r="O63" i="29" s="1"/>
  <c r="O49" i="29" s="1"/>
  <c r="O58" i="29"/>
  <c r="Z62" i="29"/>
  <c r="Z63" i="29" s="1"/>
  <c r="Z49" i="29" s="1"/>
  <c r="I62" i="29"/>
  <c r="I63" i="29" s="1"/>
  <c r="I49" i="29" s="1"/>
  <c r="I58" i="29"/>
  <c r="I61" i="29"/>
  <c r="I48" i="29" s="1"/>
  <c r="I59" i="29"/>
  <c r="I57" i="29"/>
  <c r="S62" i="29"/>
  <c r="S63" i="29" s="1"/>
  <c r="S49" i="29" s="1"/>
  <c r="S58" i="29"/>
  <c r="S61" i="29"/>
  <c r="S48" i="29" s="1"/>
  <c r="S59" i="29"/>
  <c r="S57" i="29"/>
  <c r="Q16" i="29"/>
  <c r="Q17" i="29"/>
  <c r="Q19" i="29"/>
  <c r="Q6" i="29" s="1"/>
  <c r="Q10" i="29" s="1"/>
  <c r="Q15" i="29"/>
  <c r="M19" i="29"/>
  <c r="M6" i="29" s="1"/>
  <c r="M10" i="29" s="1"/>
  <c r="M17" i="29"/>
  <c r="M15" i="29"/>
  <c r="M16" i="29"/>
  <c r="I15" i="29"/>
  <c r="I19" i="29"/>
  <c r="I6" i="29" s="1"/>
  <c r="I10" i="29" s="1"/>
  <c r="I16" i="29"/>
  <c r="I17" i="29"/>
  <c r="J16" i="29"/>
  <c r="Z16" i="29"/>
  <c r="AF189" i="31"/>
  <c r="AI189" i="31"/>
  <c r="W189" i="31"/>
  <c r="S132" i="32"/>
  <c r="J137" i="32"/>
  <c r="Q141" i="32"/>
  <c r="AD220" i="31"/>
  <c r="AH220" i="31" s="1"/>
  <c r="AD204" i="31"/>
  <c r="AH204" i="31" s="1"/>
  <c r="AD177" i="31"/>
  <c r="AH177" i="31" s="1"/>
  <c r="AD224" i="31"/>
  <c r="AH224" i="31" s="1"/>
  <c r="AD184" i="31"/>
  <c r="AH184" i="31" s="1"/>
  <c r="AF101" i="31"/>
  <c r="BZ93" i="31" s="1"/>
  <c r="AR101" i="31"/>
  <c r="BZ105" i="31" s="1"/>
  <c r="AQ94" i="31"/>
  <c r="BY104" i="31" s="1"/>
  <c r="DX117" i="30"/>
  <c r="Z7" i="30" s="1"/>
  <c r="DH117" i="30"/>
  <c r="J7" i="30" s="1"/>
  <c r="DH84" i="30"/>
  <c r="CR81" i="30"/>
  <c r="CB83" i="30"/>
  <c r="BE84" i="30"/>
  <c r="AB228" i="28"/>
  <c r="CV82" i="30"/>
  <c r="BL3" i="29"/>
  <c r="W34" i="28"/>
  <c r="K34" i="28" s="1"/>
  <c r="C90" i="32" s="1"/>
  <c r="N62" i="29"/>
  <c r="N63" i="29" s="1"/>
  <c r="N49" i="29" s="1"/>
  <c r="W61" i="29"/>
  <c r="W48" i="29" s="1"/>
  <c r="W59" i="29"/>
  <c r="W57" i="29"/>
  <c r="W62" i="29"/>
  <c r="W63" i="29" s="1"/>
  <c r="W49" i="29" s="1"/>
  <c r="W58" i="29"/>
  <c r="T62" i="29"/>
  <c r="T63" i="29" s="1"/>
  <c r="T49" i="29" s="1"/>
  <c r="M61" i="29"/>
  <c r="M48" i="29" s="1"/>
  <c r="M59" i="29"/>
  <c r="M57" i="29"/>
  <c r="M62" i="29"/>
  <c r="M63" i="29" s="1"/>
  <c r="M49" i="29" s="1"/>
  <c r="M58" i="29"/>
  <c r="C16" i="29"/>
  <c r="C17" i="29"/>
  <c r="C15" i="29"/>
  <c r="W19" i="29"/>
  <c r="W6" i="29" s="1"/>
  <c r="W10" i="29" s="1"/>
  <c r="W17" i="29"/>
  <c r="W16" i="29"/>
  <c r="W15" i="29"/>
  <c r="S19" i="29"/>
  <c r="S6" i="29" s="1"/>
  <c r="S10" i="29" s="1"/>
  <c r="S16" i="29"/>
  <c r="S17" i="29"/>
  <c r="S15" i="29"/>
  <c r="O17" i="29"/>
  <c r="O15" i="29"/>
  <c r="O16" i="29"/>
  <c r="O19" i="29"/>
  <c r="O6" i="29" s="1"/>
  <c r="O10" i="29" s="1"/>
  <c r="N16" i="29"/>
  <c r="AI225" i="31"/>
  <c r="AF225" i="31"/>
  <c r="W225" i="31"/>
  <c r="AI217" i="31"/>
  <c r="AF217" i="31"/>
  <c r="W217" i="31"/>
  <c r="AI209" i="31"/>
  <c r="AF209" i="31"/>
  <c r="W209" i="31"/>
  <c r="AF171" i="31"/>
  <c r="AG171" i="31"/>
  <c r="U171" i="31"/>
  <c r="AD200" i="31"/>
  <c r="AH200" i="31" s="1"/>
  <c r="BP101" i="31"/>
  <c r="AH108" i="31"/>
  <c r="CA95" i="31" s="1"/>
  <c r="BD101" i="31"/>
  <c r="AD101" i="31"/>
  <c r="BZ91" i="31" s="1"/>
  <c r="AT101" i="31"/>
  <c r="BZ107" i="31" s="1"/>
  <c r="BJ101" i="31"/>
  <c r="AE101" i="31"/>
  <c r="BZ92" i="31" s="1"/>
  <c r="AU101" i="31"/>
  <c r="BZ108" i="31" s="1"/>
  <c r="BP94" i="31"/>
  <c r="CN117" i="30"/>
  <c r="S6" i="30" s="1"/>
  <c r="BQ117" i="30"/>
  <c r="AB5" i="30" s="1"/>
  <c r="AD19" i="29"/>
  <c r="AF19" i="29" s="1"/>
  <c r="CV84" i="30"/>
  <c r="BG3" i="29"/>
  <c r="BJ3" i="29"/>
  <c r="AO169" i="28"/>
  <c r="Y60" i="29"/>
  <c r="AC228" i="28"/>
  <c r="K40" i="28" s="1"/>
  <c r="Y34" i="28"/>
  <c r="K36" i="28" s="1"/>
  <c r="C92" i="32" s="1"/>
  <c r="C58" i="29"/>
  <c r="C59" i="29"/>
  <c r="C57" i="29"/>
  <c r="V62" i="29"/>
  <c r="V63" i="29" s="1"/>
  <c r="V49" i="29" s="1"/>
  <c r="J62" i="29"/>
  <c r="J63" i="29" s="1"/>
  <c r="J49" i="29" s="1"/>
  <c r="J55" i="29" s="1"/>
  <c r="Q62" i="29"/>
  <c r="Q63" i="29" s="1"/>
  <c r="Q49" i="29" s="1"/>
  <c r="Q58" i="29"/>
  <c r="Q61" i="29"/>
  <c r="Q48" i="29" s="1"/>
  <c r="Q59" i="29"/>
  <c r="Q57" i="29"/>
  <c r="AG182" i="31"/>
  <c r="AF182" i="31"/>
  <c r="P16" i="29"/>
  <c r="P19" i="29"/>
  <c r="P6" i="29" s="1"/>
  <c r="P10" i="29" s="1"/>
  <c r="K19" i="29"/>
  <c r="K6" i="29" s="1"/>
  <c r="K10" i="29" s="1"/>
  <c r="K16" i="29"/>
  <c r="K17" i="29"/>
  <c r="K15" i="29"/>
  <c r="F16" i="29"/>
  <c r="G17" i="29"/>
  <c r="G16" i="29"/>
  <c r="G15" i="29"/>
  <c r="G19" i="29"/>
  <c r="G6" i="29" s="1"/>
  <c r="G10" i="29" s="1"/>
  <c r="D19" i="29"/>
  <c r="D6" i="29" s="1"/>
  <c r="D10" i="29" s="1"/>
  <c r="D16" i="29"/>
  <c r="D18" i="29" s="1"/>
  <c r="X19" i="29"/>
  <c r="X6" i="29" s="1"/>
  <c r="X10" i="29" s="1"/>
  <c r="X16" i="29"/>
  <c r="T19" i="29"/>
  <c r="T6" i="29" s="1"/>
  <c r="T10" i="29" s="1"/>
  <c r="T16" i="29"/>
  <c r="R16" i="29"/>
  <c r="R18" i="29" s="1"/>
  <c r="AI193" i="31"/>
  <c r="W193" i="31"/>
  <c r="AI179" i="31"/>
  <c r="W179" i="31"/>
  <c r="AD196" i="28"/>
  <c r="AH196" i="28" s="1"/>
  <c r="AA228" i="31"/>
  <c r="AO167" i="31"/>
  <c r="AD164" i="31"/>
  <c r="AJ164" i="31" s="1"/>
  <c r="AO170" i="28"/>
  <c r="AB228" i="31"/>
  <c r="R34" i="31" s="1"/>
  <c r="B39" i="31" s="1"/>
  <c r="Z132" i="32"/>
  <c r="K137" i="32"/>
  <c r="C127" i="32"/>
  <c r="D127" i="32" s="1"/>
  <c r="C135" i="32"/>
  <c r="D135" i="32" s="1"/>
  <c r="D112" i="32"/>
  <c r="AE137" i="32"/>
  <c r="O137" i="32"/>
  <c r="Y132" i="32"/>
  <c r="I132" i="32"/>
  <c r="T141" i="32"/>
  <c r="L137" i="32"/>
  <c r="BZ172" i="32"/>
  <c r="BZ137" i="32"/>
  <c r="AJ215" i="31"/>
  <c r="AF215" i="31"/>
  <c r="AI215" i="31"/>
  <c r="AE215" i="31"/>
  <c r="W215" i="31"/>
  <c r="AG215" i="31"/>
  <c r="V215" i="31"/>
  <c r="U215" i="31"/>
  <c r="AJ174" i="31"/>
  <c r="AF174" i="31"/>
  <c r="AI174" i="31"/>
  <c r="AE174" i="31"/>
  <c r="W174" i="31"/>
  <c r="AG174" i="31"/>
  <c r="V174" i="31"/>
  <c r="U174" i="31"/>
  <c r="AJ219" i="32"/>
  <c r="AN219" i="32" s="1"/>
  <c r="AK227" i="32"/>
  <c r="AO227" i="32" s="1"/>
  <c r="AV108" i="31"/>
  <c r="CA109" i="31" s="1"/>
  <c r="AJ219" i="31"/>
  <c r="AF219" i="31"/>
  <c r="AI219" i="31"/>
  <c r="AE219" i="31"/>
  <c r="W219" i="31"/>
  <c r="U219" i="31"/>
  <c r="AG219" i="31"/>
  <c r="V219" i="31"/>
  <c r="AJ203" i="31"/>
  <c r="AF203" i="31"/>
  <c r="AI203" i="31"/>
  <c r="AE203" i="31"/>
  <c r="W203" i="31"/>
  <c r="U203" i="31"/>
  <c r="AG203" i="31"/>
  <c r="V203" i="31"/>
  <c r="AG184" i="31"/>
  <c r="U184" i="31"/>
  <c r="AJ184" i="31"/>
  <c r="AF184" i="31"/>
  <c r="V184" i="31"/>
  <c r="AI184" i="31"/>
  <c r="AE184" i="31"/>
  <c r="W184" i="31"/>
  <c r="C131" i="32"/>
  <c r="D131" i="32" s="1"/>
  <c r="C126" i="32"/>
  <c r="D126" i="32" s="1"/>
  <c r="AE141" i="32"/>
  <c r="W132" i="32"/>
  <c r="S141" i="32"/>
  <c r="O141" i="32"/>
  <c r="Z137" i="32"/>
  <c r="R141" i="32"/>
  <c r="J141" i="32"/>
  <c r="BZ173" i="32"/>
  <c r="BZ138" i="32"/>
  <c r="BZ169" i="32"/>
  <c r="BZ134" i="32"/>
  <c r="AC132" i="32"/>
  <c r="Y137" i="32"/>
  <c r="U141" i="32"/>
  <c r="M132" i="32"/>
  <c r="I137" i="32"/>
  <c r="BZ176" i="32"/>
  <c r="BZ141" i="32"/>
  <c r="DC170" i="32"/>
  <c r="DC135" i="32"/>
  <c r="AB132" i="32"/>
  <c r="X137" i="32"/>
  <c r="P132" i="32"/>
  <c r="L132" i="32"/>
  <c r="H141" i="32"/>
  <c r="C129" i="32"/>
  <c r="D129" i="32" s="1"/>
  <c r="DC175" i="32"/>
  <c r="DC140" i="32"/>
  <c r="AG220" i="31"/>
  <c r="U220" i="31"/>
  <c r="AJ220" i="31"/>
  <c r="AF220" i="31"/>
  <c r="AE220" i="31"/>
  <c r="W220" i="31"/>
  <c r="V220" i="31"/>
  <c r="AI220" i="31"/>
  <c r="AJ207" i="31"/>
  <c r="AF207" i="31"/>
  <c r="AI207" i="31"/>
  <c r="AE207" i="31"/>
  <c r="W207" i="31"/>
  <c r="AG207" i="31"/>
  <c r="V207" i="31"/>
  <c r="U207" i="31"/>
  <c r="AG196" i="31"/>
  <c r="U196" i="31"/>
  <c r="AJ196" i="31"/>
  <c r="AF196" i="31"/>
  <c r="AE196" i="31"/>
  <c r="W196" i="31"/>
  <c r="V196" i="31"/>
  <c r="AI196" i="31"/>
  <c r="AJ191" i="31"/>
  <c r="AF191" i="31"/>
  <c r="AI191" i="31"/>
  <c r="AE191" i="31"/>
  <c r="W191" i="31"/>
  <c r="AG191" i="31"/>
  <c r="V191" i="31"/>
  <c r="U191" i="31"/>
  <c r="AD175" i="31"/>
  <c r="AH175" i="31" s="1"/>
  <c r="BI108" i="31"/>
  <c r="AS108" i="31"/>
  <c r="CA106" i="31" s="1"/>
  <c r="AC108" i="31"/>
  <c r="CA90" i="31" s="1"/>
  <c r="BH108" i="31"/>
  <c r="AR108" i="31"/>
  <c r="CA105" i="31" s="1"/>
  <c r="AB108" i="31"/>
  <c r="CA89" i="31" s="1"/>
  <c r="AU108" i="31"/>
  <c r="CA108" i="31" s="1"/>
  <c r="AE108" i="31"/>
  <c r="CA92" i="31" s="1"/>
  <c r="AN218" i="32"/>
  <c r="AK226" i="32"/>
  <c r="AO226" i="32" s="1"/>
  <c r="AD188" i="31"/>
  <c r="AI188" i="31" s="1"/>
  <c r="L114" i="31"/>
  <c r="J114" i="31" s="1"/>
  <c r="AS101" i="31"/>
  <c r="BZ106" i="31" s="1"/>
  <c r="C108" i="32"/>
  <c r="D108" i="32" s="1"/>
  <c r="AG101" i="31"/>
  <c r="BZ94" i="31" s="1"/>
  <c r="AH186" i="31"/>
  <c r="AV101" i="31"/>
  <c r="BZ109" i="31" s="1"/>
  <c r="AH101" i="31"/>
  <c r="BZ95" i="31" s="1"/>
  <c r="AX101" i="31"/>
  <c r="BZ111" i="31" s="1"/>
  <c r="AI101" i="31"/>
  <c r="BZ96" i="31" s="1"/>
  <c r="AY101" i="31"/>
  <c r="BZ112" i="31" s="1"/>
  <c r="AF94" i="31"/>
  <c r="BY93" i="31" s="1"/>
  <c r="AU94" i="31"/>
  <c r="BY108" i="31" s="1"/>
  <c r="AW94" i="31"/>
  <c r="BY110" i="31" s="1"/>
  <c r="AH94" i="31"/>
  <c r="BY95" i="31" s="1"/>
  <c r="AX94" i="31"/>
  <c r="BY111" i="31" s="1"/>
  <c r="AZ94" i="31"/>
  <c r="BY113" i="31" s="1"/>
  <c r="DV85" i="30"/>
  <c r="EB82" i="30"/>
  <c r="DX82" i="30"/>
  <c r="DJ82" i="30"/>
  <c r="DT117" i="30"/>
  <c r="V7" i="30" s="1"/>
  <c r="CV117" i="30"/>
  <c r="AA6" i="30" s="1"/>
  <c r="BI117" i="30"/>
  <c r="T5" i="30" s="1"/>
  <c r="T60" i="29"/>
  <c r="D60" i="29"/>
  <c r="D64" i="29" s="1"/>
  <c r="L55" i="29"/>
  <c r="L53" i="29"/>
  <c r="AJ204" i="28"/>
  <c r="AF204" i="28"/>
  <c r="V204" i="28"/>
  <c r="U204" i="28"/>
  <c r="AI204" i="28"/>
  <c r="AE204" i="28"/>
  <c r="W204" i="28"/>
  <c r="AG204" i="28"/>
  <c r="CJ84" i="30"/>
  <c r="CJ82" i="30"/>
  <c r="CJ81" i="30"/>
  <c r="CJ83" i="30"/>
  <c r="BZ76" i="30"/>
  <c r="BZ111" i="30"/>
  <c r="BZ106" i="30"/>
  <c r="BZ71" i="30"/>
  <c r="DZ83" i="30"/>
  <c r="DR83" i="30"/>
  <c r="DJ83" i="30"/>
  <c r="CN84" i="30"/>
  <c r="CN82" i="30"/>
  <c r="CN81" i="30"/>
  <c r="CN83" i="30"/>
  <c r="DZ117" i="30"/>
  <c r="AB7" i="30" s="1"/>
  <c r="DJ117" i="30"/>
  <c r="L7" i="30" s="1"/>
  <c r="CP117" i="30"/>
  <c r="U6" i="30" s="1"/>
  <c r="BS117" i="30"/>
  <c r="AD5" i="30" s="1"/>
  <c r="C252" i="32"/>
  <c r="D252" i="32" s="1"/>
  <c r="B96" i="30"/>
  <c r="D96" i="30" s="1"/>
  <c r="V55" i="29"/>
  <c r="V53" i="29"/>
  <c r="F55" i="29"/>
  <c r="F53" i="29"/>
  <c r="V202" i="28"/>
  <c r="AJ202" i="28"/>
  <c r="AF202" i="28"/>
  <c r="AE202" i="28"/>
  <c r="W202" i="28"/>
  <c r="U202" i="28"/>
  <c r="AG202" i="28"/>
  <c r="AI202" i="28"/>
  <c r="DZ81" i="30"/>
  <c r="CX83" i="30"/>
  <c r="CP83" i="30"/>
  <c r="CH83" i="30"/>
  <c r="BS82" i="30"/>
  <c r="DY117" i="30"/>
  <c r="AA7" i="30" s="1"/>
  <c r="DQ117" i="30"/>
  <c r="S7" i="30" s="1"/>
  <c r="DI117" i="30"/>
  <c r="K7" i="30" s="1"/>
  <c r="CW84" i="30"/>
  <c r="CW83" i="30"/>
  <c r="CW81" i="30"/>
  <c r="CW82" i="30"/>
  <c r="CO117" i="30"/>
  <c r="T6" i="30" s="1"/>
  <c r="CG84" i="30"/>
  <c r="CG83" i="30"/>
  <c r="CG81" i="30"/>
  <c r="CG82" i="30"/>
  <c r="BR117" i="30"/>
  <c r="AC5" i="30" s="1"/>
  <c r="BJ82" i="30"/>
  <c r="BJ81" i="30"/>
  <c r="BJ84" i="30"/>
  <c r="BJ83" i="30"/>
  <c r="BB117" i="30"/>
  <c r="M5" i="30" s="1"/>
  <c r="C38" i="32"/>
  <c r="K73" i="28"/>
  <c r="AP7" i="29" s="1"/>
  <c r="AI207" i="28"/>
  <c r="AE207" i="28"/>
  <c r="W207" i="28"/>
  <c r="AG207" i="28"/>
  <c r="U207" i="28"/>
  <c r="V207" i="28"/>
  <c r="AJ207" i="28"/>
  <c r="AF207" i="28"/>
  <c r="AG184" i="28"/>
  <c r="U184" i="28"/>
  <c r="AJ184" i="28"/>
  <c r="AF184" i="28"/>
  <c r="AI184" i="28"/>
  <c r="AE184" i="28"/>
  <c r="W184" i="28"/>
  <c r="V184" i="28"/>
  <c r="DH81" i="30"/>
  <c r="CV83" i="30"/>
  <c r="CF84" i="30"/>
  <c r="R41" i="29"/>
  <c r="R42" i="29" s="1"/>
  <c r="R28" i="29" s="1"/>
  <c r="R40" i="29"/>
  <c r="R27" i="29" s="1"/>
  <c r="R32" i="29" s="1"/>
  <c r="R38" i="29"/>
  <c r="R37" i="29"/>
  <c r="R36" i="29"/>
  <c r="H41" i="29"/>
  <c r="H42" i="29" s="1"/>
  <c r="H28" i="29" s="1"/>
  <c r="H40" i="29"/>
  <c r="H27" i="29" s="1"/>
  <c r="H32" i="29" s="1"/>
  <c r="H38" i="29"/>
  <c r="H37" i="29"/>
  <c r="H36" i="29"/>
  <c r="H39" i="29" s="1"/>
  <c r="H43" i="29" s="1"/>
  <c r="X41" i="29"/>
  <c r="X42" i="29" s="1"/>
  <c r="X28" i="29" s="1"/>
  <c r="X40" i="29"/>
  <c r="X27" i="29" s="1"/>
  <c r="X32" i="29" s="1"/>
  <c r="X38" i="29"/>
  <c r="X37" i="29"/>
  <c r="X36" i="29"/>
  <c r="Q41" i="29"/>
  <c r="Q42" i="29" s="1"/>
  <c r="Q28" i="29" s="1"/>
  <c r="Q40" i="29"/>
  <c r="Q27" i="29" s="1"/>
  <c r="Q32" i="29" s="1"/>
  <c r="Q38" i="29"/>
  <c r="Q37" i="29"/>
  <c r="Q36" i="29"/>
  <c r="K2" i="29"/>
  <c r="S36" i="29"/>
  <c r="H2" i="29"/>
  <c r="CT84" i="30"/>
  <c r="CL84" i="30"/>
  <c r="CD84" i="30"/>
  <c r="BG81" i="30"/>
  <c r="AY81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AZ117" i="30"/>
  <c r="K5" i="30" s="1"/>
  <c r="G41" i="29"/>
  <c r="G42" i="29" s="1"/>
  <c r="G28" i="29" s="1"/>
  <c r="G37" i="29"/>
  <c r="G40" i="29"/>
  <c r="G27" i="29" s="1"/>
  <c r="G32" i="29" s="1"/>
  <c r="G38" i="29"/>
  <c r="G36" i="29"/>
  <c r="X272" i="31"/>
  <c r="X234" i="31"/>
  <c r="V185" i="28"/>
  <c r="AG185" i="28"/>
  <c r="U185" i="28"/>
  <c r="AJ185" i="28"/>
  <c r="AF185" i="28"/>
  <c r="AI185" i="28"/>
  <c r="AE185" i="28"/>
  <c r="W185" i="28"/>
  <c r="CR82" i="30"/>
  <c r="CB81" i="30"/>
  <c r="BE81" i="30"/>
  <c r="Y2" i="29"/>
  <c r="I2" i="29"/>
  <c r="AD168" i="28"/>
  <c r="AH168" i="28" s="1"/>
  <c r="W38" i="29"/>
  <c r="BZ174" i="32"/>
  <c r="BZ139" i="32"/>
  <c r="BZ167" i="32"/>
  <c r="BZ132" i="32"/>
  <c r="J141" i="31"/>
  <c r="C219" i="32" s="1"/>
  <c r="AD168" i="31"/>
  <c r="AH168" i="31" s="1"/>
  <c r="BZ175" i="32"/>
  <c r="BZ140" i="32"/>
  <c r="AF108" i="31"/>
  <c r="CA93" i="31" s="1"/>
  <c r="AG216" i="31"/>
  <c r="U216" i="31"/>
  <c r="AJ216" i="31"/>
  <c r="AF216" i="31"/>
  <c r="V216" i="31"/>
  <c r="AI216" i="31"/>
  <c r="AE216" i="31"/>
  <c r="W216" i="31"/>
  <c r="AG200" i="31"/>
  <c r="U200" i="31"/>
  <c r="AJ200" i="31"/>
  <c r="AF200" i="31"/>
  <c r="V200" i="31"/>
  <c r="AI200" i="31"/>
  <c r="W200" i="31"/>
  <c r="AE200" i="31"/>
  <c r="AO101" i="31"/>
  <c r="BZ102" i="31" s="1"/>
  <c r="C134" i="32"/>
  <c r="D134" i="32" s="1"/>
  <c r="D111" i="32"/>
  <c r="C107" i="32"/>
  <c r="D107" i="32" s="1"/>
  <c r="C103" i="32"/>
  <c r="D103" i="32" s="1"/>
  <c r="C99" i="32"/>
  <c r="D99" i="32" s="1"/>
  <c r="K141" i="32"/>
  <c r="AA132" i="32"/>
  <c r="W141" i="32"/>
  <c r="S137" i="32"/>
  <c r="K132" i="32"/>
  <c r="Z141" i="32"/>
  <c r="N137" i="32"/>
  <c r="AC137" i="32"/>
  <c r="Y141" i="32"/>
  <c r="Q132" i="32"/>
  <c r="M137" i="32"/>
  <c r="I141" i="32"/>
  <c r="BZ168" i="32"/>
  <c r="BZ133" i="32"/>
  <c r="AB141" i="32"/>
  <c r="T137" i="32"/>
  <c r="P137" i="32"/>
  <c r="L141" i="32"/>
  <c r="C102" i="32"/>
  <c r="D102" i="32" s="1"/>
  <c r="C98" i="32"/>
  <c r="D98" i="32" s="1"/>
  <c r="H132" i="32"/>
  <c r="C106" i="32"/>
  <c r="D106" i="32" s="1"/>
  <c r="BZ171" i="32"/>
  <c r="BZ136" i="32"/>
  <c r="AG212" i="31"/>
  <c r="U212" i="31"/>
  <c r="AJ212" i="31"/>
  <c r="AF212" i="31"/>
  <c r="AE212" i="31"/>
  <c r="W212" i="31"/>
  <c r="V212" i="31"/>
  <c r="AI212" i="31"/>
  <c r="AO170" i="31"/>
  <c r="AG177" i="31"/>
  <c r="U177" i="31"/>
  <c r="AJ177" i="31"/>
  <c r="AF177" i="31"/>
  <c r="AE177" i="31"/>
  <c r="W177" i="31"/>
  <c r="V177" i="31"/>
  <c r="AI177" i="31"/>
  <c r="L111" i="31"/>
  <c r="L113" i="31"/>
  <c r="J113" i="31" s="1"/>
  <c r="BE108" i="31"/>
  <c r="AO108" i="31"/>
  <c r="CA102" i="31" s="1"/>
  <c r="AD213" i="31"/>
  <c r="AH213" i="31" s="1"/>
  <c r="AD181" i="31"/>
  <c r="AH181" i="31" s="1"/>
  <c r="AJ175" i="31"/>
  <c r="AF175" i="31"/>
  <c r="AI175" i="31"/>
  <c r="AE175" i="31"/>
  <c r="W175" i="31"/>
  <c r="AG175" i="31"/>
  <c r="V175" i="31"/>
  <c r="U175" i="31"/>
  <c r="AF168" i="31"/>
  <c r="AI168" i="31"/>
  <c r="AE168" i="31"/>
  <c r="W168" i="31"/>
  <c r="AG168" i="31"/>
  <c r="V168" i="31"/>
  <c r="U168" i="31"/>
  <c r="BT108" i="31"/>
  <c r="BD108" i="31"/>
  <c r="AN108" i="31"/>
  <c r="CA101" i="31" s="1"/>
  <c r="AJ227" i="31"/>
  <c r="AF227" i="31"/>
  <c r="AI227" i="31"/>
  <c r="AE227" i="31"/>
  <c r="W227" i="31"/>
  <c r="U227" i="31"/>
  <c r="AG227" i="31"/>
  <c r="V227" i="31"/>
  <c r="AG224" i="31"/>
  <c r="U224" i="31"/>
  <c r="AJ224" i="31"/>
  <c r="AF224" i="31"/>
  <c r="V224" i="31"/>
  <c r="AI224" i="31"/>
  <c r="AE224" i="31"/>
  <c r="W224" i="31"/>
  <c r="AJ211" i="31"/>
  <c r="AF211" i="31"/>
  <c r="AI211" i="31"/>
  <c r="AE211" i="31"/>
  <c r="W211" i="31"/>
  <c r="U211" i="31"/>
  <c r="AG211" i="31"/>
  <c r="V211" i="31"/>
  <c r="AG208" i="31"/>
  <c r="U208" i="31"/>
  <c r="AJ208" i="31"/>
  <c r="AF208" i="31"/>
  <c r="V208" i="31"/>
  <c r="AI208" i="31"/>
  <c r="AE208" i="31"/>
  <c r="W208" i="31"/>
  <c r="AJ195" i="31"/>
  <c r="AF195" i="31"/>
  <c r="AI195" i="31"/>
  <c r="AE195" i="31"/>
  <c r="W195" i="31"/>
  <c r="U195" i="31"/>
  <c r="AH195" i="31"/>
  <c r="AG195" i="31"/>
  <c r="V195" i="31"/>
  <c r="AG192" i="31"/>
  <c r="U192" i="31"/>
  <c r="AJ192" i="31"/>
  <c r="AF192" i="31"/>
  <c r="V192" i="31"/>
  <c r="AI192" i="31"/>
  <c r="AE192" i="31"/>
  <c r="W192" i="31"/>
  <c r="AF169" i="31"/>
  <c r="AI169" i="31"/>
  <c r="AE169" i="31"/>
  <c r="W169" i="31"/>
  <c r="U169" i="31"/>
  <c r="AH169" i="31"/>
  <c r="AG169" i="31"/>
  <c r="V169" i="31"/>
  <c r="AI147" i="31"/>
  <c r="W126" i="31" s="1"/>
  <c r="BG108" i="31"/>
  <c r="AQ108" i="31"/>
  <c r="CA104" i="31" s="1"/>
  <c r="AD209" i="31"/>
  <c r="AH209" i="31" s="1"/>
  <c r="AD173" i="31"/>
  <c r="AH173" i="31" s="1"/>
  <c r="AG164" i="31"/>
  <c r="U164" i="31"/>
  <c r="AF164" i="31"/>
  <c r="AE164" i="31"/>
  <c r="W164" i="31"/>
  <c r="V164" i="31"/>
  <c r="BQ101" i="31"/>
  <c r="AK101" i="31"/>
  <c r="BZ98" i="31" s="1"/>
  <c r="C100" i="32"/>
  <c r="D100" i="32" s="1"/>
  <c r="AD201" i="31"/>
  <c r="AH201" i="31" s="1"/>
  <c r="AO166" i="31"/>
  <c r="C76" i="32" s="1"/>
  <c r="BE101" i="31"/>
  <c r="BT101" i="31"/>
  <c r="AN101" i="31"/>
  <c r="BZ101" i="31" s="1"/>
  <c r="AL101" i="31"/>
  <c r="BZ99" i="31" s="1"/>
  <c r="BB101" i="31"/>
  <c r="BR101" i="31"/>
  <c r="AM101" i="31"/>
  <c r="BZ100" i="31" s="1"/>
  <c r="BC101" i="31"/>
  <c r="BS101" i="31"/>
  <c r="BS94" i="31"/>
  <c r="AM94" i="31"/>
  <c r="BY100" i="31" s="1"/>
  <c r="AK94" i="31"/>
  <c r="BY98" i="31" s="1"/>
  <c r="BA94" i="31"/>
  <c r="BQ94" i="31"/>
  <c r="AL94" i="31"/>
  <c r="BY99" i="31" s="1"/>
  <c r="BB94" i="31"/>
  <c r="BR94" i="31"/>
  <c r="AR94" i="31"/>
  <c r="BY105" i="31" s="1"/>
  <c r="L5" i="31"/>
  <c r="DF85" i="30"/>
  <c r="EB84" i="30"/>
  <c r="EB85" i="30" s="1"/>
  <c r="DR81" i="30"/>
  <c r="BZ115" i="30"/>
  <c r="BZ80" i="30"/>
  <c r="DP117" i="30"/>
  <c r="R7" i="30" s="1"/>
  <c r="CR117" i="30"/>
  <c r="W6" i="30" s="1"/>
  <c r="AJ5" i="29"/>
  <c r="P60" i="29"/>
  <c r="P64" i="29" s="1"/>
  <c r="X53" i="29"/>
  <c r="H55" i="29"/>
  <c r="H53" i="29"/>
  <c r="AJ200" i="28"/>
  <c r="AF200" i="28"/>
  <c r="V200" i="28"/>
  <c r="AG200" i="28"/>
  <c r="AE200" i="28"/>
  <c r="W200" i="28"/>
  <c r="U200" i="28"/>
  <c r="AI200" i="28"/>
  <c r="DN85" i="30"/>
  <c r="BM84" i="30"/>
  <c r="BM83" i="30"/>
  <c r="BM81" i="30"/>
  <c r="BM82" i="30"/>
  <c r="BZ74" i="30"/>
  <c r="BZ109" i="30"/>
  <c r="DR84" i="30"/>
  <c r="DJ84" i="30"/>
  <c r="BQ84" i="30"/>
  <c r="BQ83" i="30"/>
  <c r="BQ82" i="30"/>
  <c r="BQ81" i="30"/>
  <c r="DV117" i="30"/>
  <c r="X7" i="30" s="1"/>
  <c r="DF117" i="30"/>
  <c r="H7" i="30" s="1"/>
  <c r="CL117" i="30"/>
  <c r="Q6" i="30" s="1"/>
  <c r="BO117" i="30"/>
  <c r="Z5" i="30" s="1"/>
  <c r="AY117" i="30"/>
  <c r="J5" i="30" s="1"/>
  <c r="C251" i="32"/>
  <c r="AK191" i="32"/>
  <c r="AO191" i="32" s="1"/>
  <c r="T247" i="31"/>
  <c r="X247" i="31" s="1"/>
  <c r="B95" i="30"/>
  <c r="D95" i="30" s="1"/>
  <c r="Z60" i="29"/>
  <c r="Z64" i="29" s="1"/>
  <c r="J60" i="29"/>
  <c r="R55" i="29"/>
  <c r="R53" i="29"/>
  <c r="AH206" i="28"/>
  <c r="V206" i="28"/>
  <c r="AJ206" i="28"/>
  <c r="AF206" i="28"/>
  <c r="AI206" i="28"/>
  <c r="AG206" i="28"/>
  <c r="AE206" i="28"/>
  <c r="W206" i="28"/>
  <c r="U206" i="28"/>
  <c r="CX81" i="30"/>
  <c r="CP81" i="30"/>
  <c r="CH81" i="30"/>
  <c r="CH85" i="30" s="1"/>
  <c r="BS84" i="30"/>
  <c r="BS85" i="30" s="1"/>
  <c r="BC84" i="30"/>
  <c r="DU117" i="30"/>
  <c r="W7" i="30" s="1"/>
  <c r="DM84" i="30"/>
  <c r="DM82" i="30"/>
  <c r="DM81" i="30"/>
  <c r="DM83" i="30"/>
  <c r="DE84" i="30"/>
  <c r="DE82" i="30"/>
  <c r="DE81" i="30"/>
  <c r="DE83" i="30"/>
  <c r="CS84" i="30"/>
  <c r="CS83" i="30"/>
  <c r="CS82" i="30"/>
  <c r="CS81" i="30"/>
  <c r="CK84" i="30"/>
  <c r="CK83" i="30"/>
  <c r="CK81" i="30"/>
  <c r="CK82" i="30"/>
  <c r="CC84" i="30"/>
  <c r="CC83" i="30"/>
  <c r="CC82" i="30"/>
  <c r="CC81" i="30"/>
  <c r="BN82" i="30"/>
  <c r="BN81" i="30"/>
  <c r="BN83" i="30"/>
  <c r="BN84" i="30"/>
  <c r="BF82" i="30"/>
  <c r="AX82" i="30"/>
  <c r="AX81" i="30"/>
  <c r="AX84" i="30"/>
  <c r="AX83" i="30"/>
  <c r="Z2" i="29"/>
  <c r="AD203" i="28"/>
  <c r="AH203" i="28" s="1"/>
  <c r="AJ196" i="28"/>
  <c r="AF196" i="28"/>
  <c r="U196" i="28"/>
  <c r="AI196" i="28"/>
  <c r="AE196" i="28"/>
  <c r="V196" i="28"/>
  <c r="AG196" i="28"/>
  <c r="W196" i="28"/>
  <c r="AG180" i="28"/>
  <c r="U180" i="28"/>
  <c r="AJ180" i="28"/>
  <c r="AF180" i="28"/>
  <c r="V180" i="28"/>
  <c r="AI180" i="28"/>
  <c r="AE180" i="28"/>
  <c r="W180" i="28"/>
  <c r="AG171" i="28"/>
  <c r="U171" i="28"/>
  <c r="AF171" i="28"/>
  <c r="V171" i="28"/>
  <c r="AI171" i="28"/>
  <c r="AE171" i="28"/>
  <c r="W171" i="28"/>
  <c r="AG169" i="28"/>
  <c r="U169" i="28"/>
  <c r="AF169" i="28"/>
  <c r="V169" i="28"/>
  <c r="AI169" i="28"/>
  <c r="AE169" i="28"/>
  <c r="W169" i="28"/>
  <c r="AG167" i="28"/>
  <c r="U167" i="28"/>
  <c r="AF167" i="28"/>
  <c r="V167" i="28"/>
  <c r="AE167" i="28"/>
  <c r="W167" i="28"/>
  <c r="AG165" i="28"/>
  <c r="U165" i="28"/>
  <c r="AF165" i="28"/>
  <c r="AI165" i="28"/>
  <c r="AE165" i="28"/>
  <c r="W165" i="28"/>
  <c r="V165" i="28"/>
  <c r="DH82" i="30"/>
  <c r="F41" i="29"/>
  <c r="F42" i="29" s="1"/>
  <c r="F28" i="29" s="1"/>
  <c r="F40" i="29"/>
  <c r="F27" i="29" s="1"/>
  <c r="F32" i="29" s="1"/>
  <c r="F38" i="29"/>
  <c r="F37" i="29"/>
  <c r="F36" i="29"/>
  <c r="V41" i="29"/>
  <c r="V42" i="29" s="1"/>
  <c r="V28" i="29" s="1"/>
  <c r="V40" i="29"/>
  <c r="V27" i="29" s="1"/>
  <c r="V32" i="29" s="1"/>
  <c r="V38" i="29"/>
  <c r="V37" i="29"/>
  <c r="V36" i="29"/>
  <c r="L41" i="29"/>
  <c r="L42" i="29" s="1"/>
  <c r="L28" i="29" s="1"/>
  <c r="L40" i="29"/>
  <c r="L27" i="29" s="1"/>
  <c r="L32" i="29" s="1"/>
  <c r="L38" i="29"/>
  <c r="L37" i="29"/>
  <c r="L36" i="29"/>
  <c r="E41" i="29"/>
  <c r="E42" i="29" s="1"/>
  <c r="E28" i="29" s="1"/>
  <c r="E40" i="29"/>
  <c r="E27" i="29" s="1"/>
  <c r="E32" i="29" s="1"/>
  <c r="E38" i="29"/>
  <c r="E37" i="29"/>
  <c r="E36" i="29"/>
  <c r="U41" i="29"/>
  <c r="U42" i="29" s="1"/>
  <c r="U28" i="29" s="1"/>
  <c r="U40" i="29"/>
  <c r="U27" i="29" s="1"/>
  <c r="U32" i="29" s="1"/>
  <c r="U38" i="29"/>
  <c r="U37" i="29"/>
  <c r="U36" i="29"/>
  <c r="W2" i="29"/>
  <c r="G2" i="29"/>
  <c r="S40" i="29"/>
  <c r="S27" i="29" s="1"/>
  <c r="S32" i="29" s="1"/>
  <c r="S37" i="29"/>
  <c r="K39" i="29"/>
  <c r="K43" i="29" s="1"/>
  <c r="AD176" i="28"/>
  <c r="AH176" i="28" s="1"/>
  <c r="CT83" i="30"/>
  <c r="CL83" i="30"/>
  <c r="CL85" i="30" s="1"/>
  <c r="CD83" i="30"/>
  <c r="BO82" i="30"/>
  <c r="BG82" i="30"/>
  <c r="AY82" i="30"/>
  <c r="EA82" i="30"/>
  <c r="EA81" i="30"/>
  <c r="EA83" i="30"/>
  <c r="EA84" i="30"/>
  <c r="DS82" i="30"/>
  <c r="DS81" i="30"/>
  <c r="DS83" i="30"/>
  <c r="DS84" i="30"/>
  <c r="DK82" i="30"/>
  <c r="DK81" i="30"/>
  <c r="DK83" i="30"/>
  <c r="DK84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V2" i="29"/>
  <c r="AD207" i="28"/>
  <c r="AH207" i="28" s="1"/>
  <c r="AD199" i="28"/>
  <c r="AH199" i="28" s="1"/>
  <c r="AD187" i="28"/>
  <c r="V181" i="28"/>
  <c r="AG181" i="28"/>
  <c r="U181" i="28"/>
  <c r="AI181" i="28"/>
  <c r="AE181" i="28"/>
  <c r="W181" i="28"/>
  <c r="AJ181" i="28"/>
  <c r="AF181" i="28"/>
  <c r="AB34" i="28"/>
  <c r="K32" i="28" s="1"/>
  <c r="AD171" i="28"/>
  <c r="AH171" i="28" s="1"/>
  <c r="CR84" i="30"/>
  <c r="CB82" i="30"/>
  <c r="BE82" i="30"/>
  <c r="M2" i="29"/>
  <c r="AD172" i="28"/>
  <c r="AH172" i="28" s="1"/>
  <c r="AD167" i="28"/>
  <c r="AH167" i="28" s="1"/>
  <c r="W40" i="29"/>
  <c r="W27" i="29" s="1"/>
  <c r="W32" i="29" s="1"/>
  <c r="W34" i="29" s="1"/>
  <c r="Y53" i="29"/>
  <c r="DC173" i="32"/>
  <c r="DC138" i="32"/>
  <c r="AD137" i="32"/>
  <c r="N141" i="32"/>
  <c r="DC172" i="32"/>
  <c r="DC137" i="32"/>
  <c r="AC141" i="32"/>
  <c r="U132" i="32"/>
  <c r="Q137" i="32"/>
  <c r="DC174" i="32"/>
  <c r="DC139" i="32"/>
  <c r="X141" i="32"/>
  <c r="T132" i="32"/>
  <c r="P141" i="32"/>
  <c r="C133" i="32"/>
  <c r="D133" i="32" s="1"/>
  <c r="C136" i="32"/>
  <c r="D136" i="32" s="1"/>
  <c r="D110" i="32"/>
  <c r="C125" i="32"/>
  <c r="D125" i="32" s="1"/>
  <c r="H137" i="32"/>
  <c r="AJ223" i="31"/>
  <c r="AF223" i="31"/>
  <c r="AI223" i="31"/>
  <c r="AE223" i="31"/>
  <c r="W223" i="31"/>
  <c r="AG223" i="31"/>
  <c r="V223" i="31"/>
  <c r="U223" i="31"/>
  <c r="AG204" i="31"/>
  <c r="U204" i="31"/>
  <c r="AJ204" i="31"/>
  <c r="AF204" i="31"/>
  <c r="AE204" i="31"/>
  <c r="W204" i="31"/>
  <c r="V204" i="31"/>
  <c r="AI204" i="31"/>
  <c r="AJ199" i="31"/>
  <c r="AF199" i="31"/>
  <c r="AI199" i="31"/>
  <c r="AE199" i="31"/>
  <c r="W199" i="31"/>
  <c r="AG199" i="31"/>
  <c r="V199" i="31"/>
  <c r="U199" i="31"/>
  <c r="AG188" i="31"/>
  <c r="U188" i="31"/>
  <c r="AF188" i="31"/>
  <c r="AE188" i="31"/>
  <c r="W188" i="31"/>
  <c r="V188" i="31"/>
  <c r="AJ183" i="31"/>
  <c r="AF183" i="31"/>
  <c r="AI183" i="31"/>
  <c r="AE183" i="31"/>
  <c r="W183" i="31"/>
  <c r="AG183" i="31"/>
  <c r="V183" i="31"/>
  <c r="U183" i="31"/>
  <c r="AF167" i="31"/>
  <c r="AE167" i="31"/>
  <c r="W167" i="31"/>
  <c r="AG167" i="31"/>
  <c r="V167" i="31"/>
  <c r="U167" i="31"/>
  <c r="L110" i="31"/>
  <c r="J110" i="31" s="1"/>
  <c r="BQ108" i="31"/>
  <c r="BA108" i="31"/>
  <c r="AK108" i="31"/>
  <c r="CA98" i="31" s="1"/>
  <c r="BP108" i="31"/>
  <c r="AZ108" i="31"/>
  <c r="CA113" i="31" s="1"/>
  <c r="AJ108" i="31"/>
  <c r="CA97" i="31" s="1"/>
  <c r="AG178" i="31"/>
  <c r="U178" i="31"/>
  <c r="AJ178" i="31"/>
  <c r="AF178" i="31"/>
  <c r="V178" i="31"/>
  <c r="AI178" i="31"/>
  <c r="AE178" i="31"/>
  <c r="W178" i="31"/>
  <c r="BS108" i="31"/>
  <c r="BC108" i="31"/>
  <c r="AM108" i="31"/>
  <c r="CA100" i="31" s="1"/>
  <c r="AG176" i="31"/>
  <c r="U176" i="31"/>
  <c r="AJ176" i="31"/>
  <c r="AF176" i="31"/>
  <c r="AE176" i="31"/>
  <c r="W176" i="31"/>
  <c r="V176" i="31"/>
  <c r="AI176" i="31"/>
  <c r="AJ173" i="31"/>
  <c r="AF173" i="31"/>
  <c r="AI173" i="31"/>
  <c r="AE173" i="31"/>
  <c r="W173" i="31"/>
  <c r="V173" i="31"/>
  <c r="U173" i="31"/>
  <c r="AG173" i="31"/>
  <c r="BI101" i="31"/>
  <c r="AC101" i="31"/>
  <c r="BZ90" i="31" s="1"/>
  <c r="AC228" i="31"/>
  <c r="C73" i="32" s="1"/>
  <c r="AW101" i="31"/>
  <c r="BZ110" i="31" s="1"/>
  <c r="AD185" i="31"/>
  <c r="AH185" i="31" s="1"/>
  <c r="AV94" i="31"/>
  <c r="BY109" i="31" s="1"/>
  <c r="AE94" i="31"/>
  <c r="BY92" i="31" s="1"/>
  <c r="AO94" i="31"/>
  <c r="BY102" i="31" s="1"/>
  <c r="BE94" i="31"/>
  <c r="BU94" i="31"/>
  <c r="AP94" i="31"/>
  <c r="BY103" i="31" s="1"/>
  <c r="BF94" i="31"/>
  <c r="BV94" i="31"/>
  <c r="AJ94" i="31"/>
  <c r="BY97" i="31" s="1"/>
  <c r="AB29" i="31"/>
  <c r="AC29" i="31" s="1"/>
  <c r="AB28" i="31"/>
  <c r="AC28" i="31" s="1"/>
  <c r="AB27" i="31"/>
  <c r="AC27" i="31" s="1"/>
  <c r="DC110" i="30"/>
  <c r="DC75" i="30"/>
  <c r="EB117" i="30"/>
  <c r="AD7" i="30" s="1"/>
  <c r="DL117" i="30"/>
  <c r="N7" i="30" s="1"/>
  <c r="CF117" i="30"/>
  <c r="K6" i="30" s="1"/>
  <c r="L60" i="29"/>
  <c r="L64" i="29" s="1"/>
  <c r="T55" i="29"/>
  <c r="T53" i="29"/>
  <c r="D55" i="29"/>
  <c r="D53" i="29"/>
  <c r="AW84" i="30"/>
  <c r="AW83" i="30"/>
  <c r="AW81" i="30"/>
  <c r="AW82" i="30"/>
  <c r="BZ108" i="30"/>
  <c r="BZ73" i="30"/>
  <c r="BA84" i="30"/>
  <c r="BA83" i="30"/>
  <c r="BA82" i="30"/>
  <c r="BA81" i="30"/>
  <c r="DC113" i="30"/>
  <c r="DC78" i="30"/>
  <c r="DR117" i="30"/>
  <c r="T7" i="30" s="1"/>
  <c r="CX117" i="30"/>
  <c r="AC6" i="30" s="1"/>
  <c r="CH117" i="30"/>
  <c r="M6" i="30" s="1"/>
  <c r="U16" i="29"/>
  <c r="U19" i="29"/>
  <c r="U6" i="29" s="1"/>
  <c r="U10" i="29" s="1"/>
  <c r="U15" i="29"/>
  <c r="U17" i="29"/>
  <c r="F60" i="29"/>
  <c r="F64" i="29" s="1"/>
  <c r="N55" i="29"/>
  <c r="N53" i="29"/>
  <c r="DU84" i="30"/>
  <c r="DU82" i="30"/>
  <c r="DU81" i="30"/>
  <c r="DU83" i="30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R2" i="29"/>
  <c r="AG192" i="28"/>
  <c r="U192" i="28"/>
  <c r="AJ192" i="28"/>
  <c r="AF192" i="28"/>
  <c r="AI192" i="28"/>
  <c r="AE192" i="28"/>
  <c r="W192" i="28"/>
  <c r="V192" i="28"/>
  <c r="AG176" i="28"/>
  <c r="U176" i="28"/>
  <c r="AJ176" i="28"/>
  <c r="AF176" i="28"/>
  <c r="AI176" i="28"/>
  <c r="AE176" i="28"/>
  <c r="W176" i="28"/>
  <c r="V176" i="28"/>
  <c r="AD192" i="28"/>
  <c r="AH192" i="28" s="1"/>
  <c r="CF85" i="30"/>
  <c r="J41" i="29"/>
  <c r="J42" i="29" s="1"/>
  <c r="J28" i="29" s="1"/>
  <c r="J40" i="29"/>
  <c r="J27" i="29" s="1"/>
  <c r="J32" i="29" s="1"/>
  <c r="J38" i="29"/>
  <c r="J37" i="29"/>
  <c r="J36" i="29"/>
  <c r="Z41" i="29"/>
  <c r="Z42" i="29" s="1"/>
  <c r="Z28" i="29" s="1"/>
  <c r="Z40" i="29"/>
  <c r="Z27" i="29" s="1"/>
  <c r="Z32" i="29" s="1"/>
  <c r="Z38" i="29"/>
  <c r="Z37" i="29"/>
  <c r="Z36" i="29"/>
  <c r="P41" i="29"/>
  <c r="P42" i="29" s="1"/>
  <c r="P28" i="29" s="1"/>
  <c r="P40" i="29"/>
  <c r="P27" i="29" s="1"/>
  <c r="P32" i="29" s="1"/>
  <c r="P38" i="29"/>
  <c r="P37" i="29"/>
  <c r="P36" i="29"/>
  <c r="I41" i="29"/>
  <c r="I42" i="29" s="1"/>
  <c r="I28" i="29" s="1"/>
  <c r="I40" i="29"/>
  <c r="I27" i="29" s="1"/>
  <c r="I32" i="29" s="1"/>
  <c r="I38" i="29"/>
  <c r="I37" i="29"/>
  <c r="I36" i="29"/>
  <c r="Y41" i="29"/>
  <c r="Y42" i="29" s="1"/>
  <c r="Y28" i="29" s="1"/>
  <c r="Y40" i="29"/>
  <c r="Y27" i="29" s="1"/>
  <c r="Y32" i="29" s="1"/>
  <c r="Y38" i="29"/>
  <c r="Y37" i="29"/>
  <c r="Y36" i="29"/>
  <c r="S2" i="29"/>
  <c r="C2" i="29"/>
  <c r="C11" i="29"/>
  <c r="C13" i="29" s="1"/>
  <c r="C39" i="29"/>
  <c r="C43" i="29" s="1"/>
  <c r="X2" i="29"/>
  <c r="AD188" i="28"/>
  <c r="AI188" i="28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BL117" i="30"/>
  <c r="W5" i="30" s="1"/>
  <c r="AV117" i="30"/>
  <c r="G5" i="30" s="1"/>
  <c r="Y64" i="29"/>
  <c r="N2" i="29"/>
  <c r="V193" i="28"/>
  <c r="AG193" i="28"/>
  <c r="U193" i="28"/>
  <c r="AJ193" i="28"/>
  <c r="AF193" i="28"/>
  <c r="AI193" i="28"/>
  <c r="AE193" i="28"/>
  <c r="W193" i="28"/>
  <c r="V177" i="28"/>
  <c r="AG177" i="28"/>
  <c r="U177" i="28"/>
  <c r="W177" i="28"/>
  <c r="AJ177" i="28"/>
  <c r="AF177" i="28"/>
  <c r="AI177" i="28"/>
  <c r="AE177" i="28"/>
  <c r="X34" i="28"/>
  <c r="K35" i="28" s="1"/>
  <c r="CR83" i="30"/>
  <c r="CB84" i="30"/>
  <c r="BE83" i="30"/>
  <c r="Q2" i="29"/>
  <c r="AE203" i="28"/>
  <c r="AD184" i="28"/>
  <c r="AH184" i="28" s="1"/>
  <c r="AD170" i="28"/>
  <c r="AI170" i="28" s="1"/>
  <c r="AD166" i="28"/>
  <c r="AJ166" i="28" s="1"/>
  <c r="S41" i="29"/>
  <c r="S42" i="29" s="1"/>
  <c r="S28" i="29" s="1"/>
  <c r="C130" i="32"/>
  <c r="D130" i="32" s="1"/>
  <c r="AA137" i="32"/>
  <c r="AD141" i="32"/>
  <c r="DC169" i="32"/>
  <c r="DC134" i="32"/>
  <c r="U137" i="32"/>
  <c r="DC171" i="32"/>
  <c r="DC136" i="32"/>
  <c r="M111" i="31"/>
  <c r="AF187" i="31"/>
  <c r="AI187" i="31"/>
  <c r="AE187" i="31"/>
  <c r="W187" i="31"/>
  <c r="U187" i="31"/>
  <c r="AG187" i="31"/>
  <c r="V187" i="31"/>
  <c r="AD225" i="31"/>
  <c r="AH225" i="31" s="1"/>
  <c r="AS94" i="31"/>
  <c r="BY106" i="31" s="1"/>
  <c r="BI94" i="31"/>
  <c r="AT94" i="31"/>
  <c r="BY107" i="31" s="1"/>
  <c r="BH94" i="31"/>
  <c r="AB94" i="31"/>
  <c r="BY89" i="31" s="1"/>
  <c r="D272" i="32"/>
  <c r="D288" i="32" s="1"/>
  <c r="C288" i="32"/>
  <c r="DX85" i="30"/>
  <c r="DC108" i="30"/>
  <c r="DC73" i="30"/>
  <c r="CB117" i="30"/>
  <c r="G6" i="30" s="1"/>
  <c r="U62" i="29"/>
  <c r="U63" i="29" s="1"/>
  <c r="U49" i="29" s="1"/>
  <c r="U61" i="29"/>
  <c r="U48" i="29" s="1"/>
  <c r="U59" i="29"/>
  <c r="U58" i="29"/>
  <c r="U57" i="29"/>
  <c r="H60" i="29"/>
  <c r="H64" i="29" s="1"/>
  <c r="P55" i="29"/>
  <c r="P53" i="29"/>
  <c r="DC112" i="30"/>
  <c r="DC77" i="30"/>
  <c r="BZ107" i="30"/>
  <c r="BZ72" i="30"/>
  <c r="BZ77" i="30"/>
  <c r="BZ112" i="30"/>
  <c r="DN117" i="30"/>
  <c r="P7" i="30" s="1"/>
  <c r="CT117" i="30"/>
  <c r="Y6" i="30" s="1"/>
  <c r="CD117" i="30"/>
  <c r="I6" i="30" s="1"/>
  <c r="C253" i="32"/>
  <c r="D253" i="32" s="1"/>
  <c r="B97" i="30"/>
  <c r="D97" i="30" s="1"/>
  <c r="R60" i="29"/>
  <c r="R64" i="29" s="1"/>
  <c r="Z55" i="29"/>
  <c r="Z53" i="29"/>
  <c r="J53" i="29"/>
  <c r="AH198" i="28"/>
  <c r="V198" i="28"/>
  <c r="AJ198" i="28"/>
  <c r="AF198" i="28"/>
  <c r="AI198" i="28"/>
  <c r="AG198" i="28"/>
  <c r="U198" i="28"/>
  <c r="AE198" i="28"/>
  <c r="W198" i="28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117" i="30"/>
  <c r="AB6" i="30" s="1"/>
  <c r="CO84" i="30"/>
  <c r="CO83" i="30"/>
  <c r="CO82" i="30"/>
  <c r="CO81" i="30"/>
  <c r="CG117" i="30"/>
  <c r="L6" i="30" s="1"/>
  <c r="BR82" i="30"/>
  <c r="BR81" i="30"/>
  <c r="BR83" i="30"/>
  <c r="BR84" i="30"/>
  <c r="BB82" i="30"/>
  <c r="BB81" i="30"/>
  <c r="BB84" i="30"/>
  <c r="BB83" i="30"/>
  <c r="C278" i="32"/>
  <c r="B113" i="30"/>
  <c r="O40" i="29"/>
  <c r="O27" i="29" s="1"/>
  <c r="O32" i="29" s="1"/>
  <c r="O38" i="29"/>
  <c r="O36" i="29"/>
  <c r="O41" i="29"/>
  <c r="O42" i="29" s="1"/>
  <c r="O28" i="29" s="1"/>
  <c r="O37" i="29"/>
  <c r="J2" i="29"/>
  <c r="AG201" i="28"/>
  <c r="U201" i="28"/>
  <c r="AI201" i="28"/>
  <c r="AE201" i="28"/>
  <c r="W201" i="28"/>
  <c r="AJ201" i="28"/>
  <c r="AF201" i="28"/>
  <c r="V201" i="28"/>
  <c r="AI199" i="28"/>
  <c r="AE199" i="28"/>
  <c r="W199" i="28"/>
  <c r="AG199" i="28"/>
  <c r="U199" i="28"/>
  <c r="V199" i="28"/>
  <c r="AJ199" i="28"/>
  <c r="AF199" i="28"/>
  <c r="AG188" i="28"/>
  <c r="U188" i="28"/>
  <c r="AF188" i="28"/>
  <c r="V188" i="28"/>
  <c r="AE188" i="28"/>
  <c r="W188" i="28"/>
  <c r="AG172" i="28"/>
  <c r="U172" i="28"/>
  <c r="AJ172" i="28"/>
  <c r="AF172" i="28"/>
  <c r="AI172" i="28"/>
  <c r="AE172" i="28"/>
  <c r="W172" i="28"/>
  <c r="V172" i="28"/>
  <c r="AG170" i="28"/>
  <c r="U170" i="28"/>
  <c r="AF170" i="28"/>
  <c r="AE170" i="28"/>
  <c r="W170" i="28"/>
  <c r="V170" i="28"/>
  <c r="AG168" i="28"/>
  <c r="U168" i="28"/>
  <c r="AF168" i="28"/>
  <c r="AI168" i="28"/>
  <c r="AE168" i="28"/>
  <c r="W168" i="28"/>
  <c r="V168" i="28"/>
  <c r="AG166" i="28"/>
  <c r="U166" i="28"/>
  <c r="AF166" i="28"/>
  <c r="V166" i="28"/>
  <c r="AE166" i="28"/>
  <c r="W166" i="28"/>
  <c r="AA228" i="28"/>
  <c r="K42" i="28" s="1"/>
  <c r="AO167" i="28"/>
  <c r="N41" i="29"/>
  <c r="N42" i="29" s="1"/>
  <c r="N28" i="29" s="1"/>
  <c r="N40" i="29"/>
  <c r="N27" i="29" s="1"/>
  <c r="N32" i="29" s="1"/>
  <c r="N38" i="29"/>
  <c r="N37" i="29"/>
  <c r="N36" i="29"/>
  <c r="D41" i="29"/>
  <c r="D42" i="29" s="1"/>
  <c r="D28" i="29" s="1"/>
  <c r="D40" i="29"/>
  <c r="D27" i="29" s="1"/>
  <c r="D32" i="29" s="1"/>
  <c r="D38" i="29"/>
  <c r="D37" i="29"/>
  <c r="D36" i="29"/>
  <c r="T41" i="29"/>
  <c r="T42" i="29" s="1"/>
  <c r="T28" i="29" s="1"/>
  <c r="T40" i="29"/>
  <c r="T27" i="29" s="1"/>
  <c r="T32" i="29" s="1"/>
  <c r="T38" i="29"/>
  <c r="T37" i="29"/>
  <c r="T36" i="29"/>
  <c r="M41" i="29"/>
  <c r="M42" i="29" s="1"/>
  <c r="M28" i="29" s="1"/>
  <c r="M40" i="29"/>
  <c r="M27" i="29" s="1"/>
  <c r="M32" i="29" s="1"/>
  <c r="M38" i="29"/>
  <c r="M37" i="29"/>
  <c r="M36" i="29"/>
  <c r="O2" i="29"/>
  <c r="P2" i="29"/>
  <c r="DW82" i="30"/>
  <c r="DW81" i="30"/>
  <c r="DW83" i="30"/>
  <c r="DW84" i="30"/>
  <c r="DO82" i="30"/>
  <c r="DO81" i="30"/>
  <c r="DO83" i="30"/>
  <c r="DO84" i="30"/>
  <c r="DG82" i="30"/>
  <c r="DG81" i="30"/>
  <c r="DG83" i="30"/>
  <c r="DG84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BD84" i="30"/>
  <c r="BD82" i="30"/>
  <c r="BD81" i="30"/>
  <c r="BD83" i="30"/>
  <c r="AV84" i="30"/>
  <c r="AV82" i="30"/>
  <c r="AV81" i="30"/>
  <c r="AV83" i="30"/>
  <c r="F83" i="30"/>
  <c r="F84" i="30"/>
  <c r="F2" i="29"/>
  <c r="AG205" i="28"/>
  <c r="U205" i="28"/>
  <c r="AI205" i="28"/>
  <c r="AE205" i="28"/>
  <c r="W205" i="28"/>
  <c r="AF205" i="28"/>
  <c r="V205" i="28"/>
  <c r="AJ205" i="28"/>
  <c r="AG197" i="28"/>
  <c r="U197" i="28"/>
  <c r="AI197" i="28"/>
  <c r="AE197" i="28"/>
  <c r="W197" i="28"/>
  <c r="AF197" i="28"/>
  <c r="V197" i="28"/>
  <c r="AJ197" i="28"/>
  <c r="V189" i="28"/>
  <c r="AG189" i="28"/>
  <c r="U189" i="28"/>
  <c r="AI189" i="28"/>
  <c r="AE189" i="28"/>
  <c r="W189" i="28"/>
  <c r="AF189" i="28"/>
  <c r="V173" i="28"/>
  <c r="AG173" i="28"/>
  <c r="U173" i="28"/>
  <c r="AI173" i="28"/>
  <c r="AE173" i="28"/>
  <c r="W173" i="28"/>
  <c r="AJ173" i="28"/>
  <c r="AF173" i="28"/>
  <c r="T259" i="31"/>
  <c r="U259" i="31" s="1"/>
  <c r="T257" i="31"/>
  <c r="U257" i="31" s="1"/>
  <c r="T260" i="31"/>
  <c r="U260" i="31" s="1"/>
  <c r="T258" i="31"/>
  <c r="U258" i="31" s="1"/>
  <c r="T256" i="31"/>
  <c r="U256" i="31" s="1"/>
  <c r="U2" i="29"/>
  <c r="E2" i="29"/>
  <c r="AD169" i="28"/>
  <c r="AH169" i="28" s="1"/>
  <c r="AD165" i="28"/>
  <c r="AH165" i="28" s="1"/>
  <c r="AD164" i="28"/>
  <c r="W36" i="29"/>
  <c r="W39" i="29" s="1"/>
  <c r="W43" i="29" s="1"/>
  <c r="AO166" i="28"/>
  <c r="AK224" i="32"/>
  <c r="AO224" i="32" s="1"/>
  <c r="AN215" i="32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Z11" i="29" l="1"/>
  <c r="Z13" i="29" s="1"/>
  <c r="D251" i="32"/>
  <c r="D38" i="32"/>
  <c r="D279" i="32"/>
  <c r="AI167" i="28"/>
  <c r="AI167" i="31"/>
  <c r="AH167" i="31"/>
  <c r="BC81" i="30"/>
  <c r="BG84" i="30"/>
  <c r="AO192" i="32"/>
  <c r="J11" i="29"/>
  <c r="J13" i="29" s="1"/>
  <c r="F72" i="30"/>
  <c r="Y77" i="30"/>
  <c r="F75" i="30"/>
  <c r="I77" i="30"/>
  <c r="BG117" i="30"/>
  <c r="R5" i="30" s="1"/>
  <c r="D185" i="32"/>
  <c r="AJ189" i="28"/>
  <c r="AC240" i="31"/>
  <c r="AF240" i="31" s="1"/>
  <c r="AJ186" i="31"/>
  <c r="AJ168" i="28"/>
  <c r="AJ168" i="31"/>
  <c r="X237" i="31"/>
  <c r="C243" i="32" s="1"/>
  <c r="C307" i="32"/>
  <c r="J18" i="29"/>
  <c r="J22" i="29" s="1"/>
  <c r="E11" i="29"/>
  <c r="E13" i="29" s="1"/>
  <c r="X249" i="31"/>
  <c r="V264" i="31" s="1"/>
  <c r="AJ167" i="28"/>
  <c r="AJ165" i="31"/>
  <c r="AH165" i="31"/>
  <c r="B52" i="30"/>
  <c r="C52" i="30" s="1"/>
  <c r="L18" i="29"/>
  <c r="L22" i="29" s="1"/>
  <c r="AJ188" i="31"/>
  <c r="BM117" i="30"/>
  <c r="X5" i="30" s="1"/>
  <c r="BH117" i="30"/>
  <c r="S5" i="30" s="1"/>
  <c r="AJ188" i="28"/>
  <c r="AH187" i="31"/>
  <c r="AJ170" i="28"/>
  <c r="AH170" i="31"/>
  <c r="AJ170" i="31"/>
  <c r="AI186" i="28"/>
  <c r="AH166" i="28"/>
  <c r="S11" i="29"/>
  <c r="S13" i="29" s="1"/>
  <c r="V11" i="29"/>
  <c r="V13" i="29" s="1"/>
  <c r="X11" i="29"/>
  <c r="X13" i="29" s="1"/>
  <c r="BF83" i="30"/>
  <c r="BF84" i="30"/>
  <c r="N11" i="29"/>
  <c r="N13" i="29" s="1"/>
  <c r="O11" i="29"/>
  <c r="O13" i="29" s="1"/>
  <c r="R11" i="29"/>
  <c r="R13" i="29" s="1"/>
  <c r="P11" i="29"/>
  <c r="P13" i="29" s="1"/>
  <c r="H11" i="29"/>
  <c r="H13" i="29" s="1"/>
  <c r="AI166" i="28"/>
  <c r="AH188" i="31"/>
  <c r="AH188" i="28"/>
  <c r="AI164" i="31"/>
  <c r="AH164" i="31"/>
  <c r="AJ164" i="28"/>
  <c r="AI164" i="28"/>
  <c r="AJ171" i="31"/>
  <c r="AJ171" i="28"/>
  <c r="I75" i="23"/>
  <c r="B40" i="31"/>
  <c r="J40" i="31" s="1"/>
  <c r="C205" i="32" s="1"/>
  <c r="AJ189" i="31"/>
  <c r="BK83" i="30"/>
  <c r="BK117" i="30"/>
  <c r="V5" i="30" s="1"/>
  <c r="BK84" i="30"/>
  <c r="T18" i="29"/>
  <c r="T22" i="29" s="1"/>
  <c r="BK82" i="30"/>
  <c r="J142" i="31"/>
  <c r="C220" i="32" s="1"/>
  <c r="P18" i="29"/>
  <c r="P22" i="29" s="1"/>
  <c r="F18" i="29"/>
  <c r="F22" i="29" s="1"/>
  <c r="V18" i="29"/>
  <c r="V22" i="29" s="1"/>
  <c r="D22" i="29"/>
  <c r="R22" i="29"/>
  <c r="M18" i="29"/>
  <c r="M22" i="29" s="1"/>
  <c r="Z18" i="29"/>
  <c r="Z22" i="29" s="1"/>
  <c r="Y18" i="29"/>
  <c r="Y22" i="29" s="1"/>
  <c r="L11" i="29"/>
  <c r="L13" i="29" s="1"/>
  <c r="N18" i="29"/>
  <c r="N22" i="29" s="1"/>
  <c r="T11" i="29"/>
  <c r="T13" i="29" s="1"/>
  <c r="H18" i="29"/>
  <c r="H22" i="29" s="1"/>
  <c r="AH33" i="31"/>
  <c r="AI33" i="31" s="1"/>
  <c r="AI36" i="31" s="1"/>
  <c r="H34" i="29"/>
  <c r="BF117" i="30"/>
  <c r="Q5" i="30" s="1"/>
  <c r="BC117" i="30"/>
  <c r="N5" i="30" s="1"/>
  <c r="K34" i="29"/>
  <c r="K11" i="29"/>
  <c r="K13" i="29" s="1"/>
  <c r="BE117" i="30"/>
  <c r="P5" i="30" s="1"/>
  <c r="BA117" i="30"/>
  <c r="L5" i="30" s="1"/>
  <c r="Y11" i="29"/>
  <c r="Y13" i="29" s="1"/>
  <c r="G11" i="29"/>
  <c r="G13" i="29" s="1"/>
  <c r="DL102" i="30"/>
  <c r="N11" i="30" s="1"/>
  <c r="CG85" i="30"/>
  <c r="N34" i="29"/>
  <c r="J39" i="29"/>
  <c r="CD85" i="30"/>
  <c r="F39" i="29"/>
  <c r="J64" i="29"/>
  <c r="J111" i="31"/>
  <c r="B51" i="30"/>
  <c r="C51" i="30" s="1"/>
  <c r="X18" i="29"/>
  <c r="X22" i="29" s="1"/>
  <c r="I60" i="29"/>
  <c r="I64" i="29" s="1"/>
  <c r="O60" i="29"/>
  <c r="O64" i="29" s="1"/>
  <c r="F11" i="29"/>
  <c r="F13" i="29" s="1"/>
  <c r="Q60" i="29"/>
  <c r="Q64" i="29" s="1"/>
  <c r="T39" i="29"/>
  <c r="CT85" i="30"/>
  <c r="W11" i="29"/>
  <c r="W13" i="29" s="1"/>
  <c r="L34" i="29"/>
  <c r="CP85" i="30"/>
  <c r="CV85" i="30"/>
  <c r="BC82" i="30"/>
  <c r="BC85" i="30" s="1"/>
  <c r="U60" i="29"/>
  <c r="M11" i="29"/>
  <c r="M13" i="29" s="1"/>
  <c r="CX85" i="30"/>
  <c r="CJ85" i="30"/>
  <c r="T64" i="29"/>
  <c r="AH166" i="31"/>
  <c r="AJ166" i="31"/>
  <c r="U39" i="29"/>
  <c r="K60" i="29"/>
  <c r="K64" i="29" s="1"/>
  <c r="E64" i="29"/>
  <c r="K33" i="28"/>
  <c r="C71" i="32" s="1"/>
  <c r="C74" i="32" s="1"/>
  <c r="Y39" i="29"/>
  <c r="O18" i="29"/>
  <c r="O22" i="29" s="1"/>
  <c r="BC83" i="30"/>
  <c r="BI83" i="30"/>
  <c r="BJ31" i="29"/>
  <c r="BL31" i="29"/>
  <c r="AH170" i="28"/>
  <c r="BI81" i="30"/>
  <c r="BI82" i="30"/>
  <c r="BI84" i="30"/>
  <c r="BJ85" i="30"/>
  <c r="Q11" i="29"/>
  <c r="Q13" i="29" s="1"/>
  <c r="U11" i="29"/>
  <c r="U13" i="29" s="1"/>
  <c r="I11" i="29"/>
  <c r="I13" i="29" s="1"/>
  <c r="S18" i="29"/>
  <c r="S22" i="29" s="1"/>
  <c r="W18" i="29"/>
  <c r="W22" i="29" s="1"/>
  <c r="C18" i="29"/>
  <c r="C22" i="29" s="1"/>
  <c r="U18" i="29"/>
  <c r="U22" i="29" s="1"/>
  <c r="AW85" i="30"/>
  <c r="G18" i="29"/>
  <c r="G22" i="29" s="1"/>
  <c r="K18" i="29"/>
  <c r="K22" i="29" s="1"/>
  <c r="Q18" i="29"/>
  <c r="Q22" i="29" s="1"/>
  <c r="AC30" i="31"/>
  <c r="J34" i="31" s="1"/>
  <c r="C201" i="32" s="1"/>
  <c r="BL90" i="31"/>
  <c r="BL94" i="31" s="1"/>
  <c r="AO168" i="31"/>
  <c r="C79" i="32" s="1"/>
  <c r="D11" i="29"/>
  <c r="D13" i="29" s="1"/>
  <c r="AD30" i="29"/>
  <c r="AD31" i="29" s="1"/>
  <c r="Q53" i="29"/>
  <c r="Q55" i="29"/>
  <c r="I18" i="29"/>
  <c r="I22" i="29" s="1"/>
  <c r="I55" i="29"/>
  <c r="I53" i="29"/>
  <c r="O55" i="29"/>
  <c r="O53" i="29"/>
  <c r="K55" i="29"/>
  <c r="K53" i="29"/>
  <c r="E18" i="29"/>
  <c r="E22" i="29" s="1"/>
  <c r="E55" i="29"/>
  <c r="E53" i="29"/>
  <c r="G60" i="29"/>
  <c r="G64" i="29" s="1"/>
  <c r="BK31" i="29"/>
  <c r="AQ6" i="29" s="1"/>
  <c r="V228" i="28"/>
  <c r="F6" i="30"/>
  <c r="CI85" i="30"/>
  <c r="CQ85" i="30"/>
  <c r="CY85" i="30"/>
  <c r="V39" i="29"/>
  <c r="V43" i="29" s="1"/>
  <c r="V34" i="29"/>
  <c r="CR85" i="30"/>
  <c r="R39" i="29"/>
  <c r="C60" i="29"/>
  <c r="C64" i="29" s="1"/>
  <c r="M55" i="29"/>
  <c r="M53" i="29"/>
  <c r="W60" i="29"/>
  <c r="W64" i="29" s="1"/>
  <c r="S60" i="29"/>
  <c r="S64" i="29" s="1"/>
  <c r="AH187" i="28"/>
  <c r="AJ187" i="28"/>
  <c r="AJ165" i="28"/>
  <c r="AJ169" i="28"/>
  <c r="DJ85" i="30"/>
  <c r="G55" i="29"/>
  <c r="G53" i="29"/>
  <c r="M39" i="29"/>
  <c r="M43" i="29" s="1"/>
  <c r="M34" i="29"/>
  <c r="AE228" i="28"/>
  <c r="AF228" i="28"/>
  <c r="DP102" i="30"/>
  <c r="R11" i="30" s="1"/>
  <c r="BK89" i="31"/>
  <c r="BK94" i="31" s="1"/>
  <c r="Z39" i="29"/>
  <c r="Z43" i="29" s="1"/>
  <c r="Z34" i="29"/>
  <c r="AX85" i="30"/>
  <c r="BF85" i="30"/>
  <c r="BN85" i="30"/>
  <c r="DR85" i="30"/>
  <c r="X34" i="29"/>
  <c r="DZ85" i="30"/>
  <c r="M60" i="29"/>
  <c r="M64" i="29" s="1"/>
  <c r="W55" i="29"/>
  <c r="W53" i="29"/>
  <c r="S55" i="29"/>
  <c r="S53" i="29"/>
  <c r="CT102" i="30"/>
  <c r="Y10" i="30" s="1"/>
  <c r="CR102" i="30"/>
  <c r="W10" i="30" s="1"/>
  <c r="U55" i="29"/>
  <c r="U53" i="29"/>
  <c r="AE228" i="31"/>
  <c r="C135" i="31" s="1"/>
  <c r="J135" i="31" s="1"/>
  <c r="AG228" i="31"/>
  <c r="C137" i="31" s="1"/>
  <c r="J137" i="31" s="1"/>
  <c r="C105" i="32"/>
  <c r="D105" i="32" s="1"/>
  <c r="C109" i="32"/>
  <c r="D109" i="32" s="1"/>
  <c r="C101" i="32"/>
  <c r="D101" i="32" s="1"/>
  <c r="BG85" i="30"/>
  <c r="C41" i="32"/>
  <c r="AE33" i="29"/>
  <c r="C95" i="32"/>
  <c r="J39" i="31"/>
  <c r="C204" i="32" s="1"/>
  <c r="AD228" i="31"/>
  <c r="AO165" i="31"/>
  <c r="C78" i="32" s="1"/>
  <c r="CE85" i="30"/>
  <c r="BB85" i="30"/>
  <c r="U64" i="29"/>
  <c r="Y43" i="29"/>
  <c r="Y34" i="29"/>
  <c r="J43" i="29"/>
  <c r="J34" i="29"/>
  <c r="BA85" i="30"/>
  <c r="C128" i="32"/>
  <c r="D128" i="32" s="1"/>
  <c r="AZ85" i="30"/>
  <c r="BH85" i="30"/>
  <c r="BP85" i="30"/>
  <c r="U43" i="29"/>
  <c r="U34" i="29"/>
  <c r="F43" i="29"/>
  <c r="F34" i="29"/>
  <c r="U228" i="28"/>
  <c r="M28" i="28" s="1"/>
  <c r="AL208" i="32"/>
  <c r="AL209" i="32"/>
  <c r="AF228" i="31"/>
  <c r="C136" i="31" s="1"/>
  <c r="J136" i="31" s="1"/>
  <c r="G39" i="29"/>
  <c r="G43" i="29" s="1"/>
  <c r="G34" i="29"/>
  <c r="BO85" i="30"/>
  <c r="R43" i="29"/>
  <c r="R34" i="29"/>
  <c r="DH85" i="30"/>
  <c r="CW85" i="30"/>
  <c r="CN85" i="30"/>
  <c r="C132" i="32"/>
  <c r="D132" i="32" s="1"/>
  <c r="CU85" i="30"/>
  <c r="T43" i="29"/>
  <c r="O34" i="29"/>
  <c r="AV85" i="30"/>
  <c r="BD85" i="30"/>
  <c r="BL85" i="30"/>
  <c r="D39" i="29"/>
  <c r="D43" i="29" s="1"/>
  <c r="D34" i="29"/>
  <c r="O39" i="29"/>
  <c r="O43" i="29" s="1"/>
  <c r="D278" i="32"/>
  <c r="C293" i="32"/>
  <c r="C291" i="32"/>
  <c r="BR85" i="30"/>
  <c r="DT102" i="30"/>
  <c r="V11" i="30" s="1"/>
  <c r="I39" i="29"/>
  <c r="I43" i="29" s="1"/>
  <c r="I34" i="29"/>
  <c r="DU85" i="30"/>
  <c r="C89" i="32"/>
  <c r="B59" i="30"/>
  <c r="F59" i="30" s="1"/>
  <c r="C271" i="32" s="1"/>
  <c r="DK85" i="30"/>
  <c r="DS85" i="30"/>
  <c r="EA85" i="30"/>
  <c r="E39" i="29"/>
  <c r="E43" i="29" s="1"/>
  <c r="E34" i="29"/>
  <c r="AG228" i="28"/>
  <c r="CC85" i="30"/>
  <c r="CS85" i="30"/>
  <c r="BQ85" i="30"/>
  <c r="V228" i="31"/>
  <c r="BE85" i="30"/>
  <c r="S39" i="29"/>
  <c r="S43" i="29" s="1"/>
  <c r="Q39" i="29"/>
  <c r="Q43" i="29" s="1"/>
  <c r="Q34" i="29"/>
  <c r="C72" i="32"/>
  <c r="C75" i="32" s="1"/>
  <c r="C138" i="31"/>
  <c r="J138" i="31" s="1"/>
  <c r="T42" i="31"/>
  <c r="V44" i="31" s="1"/>
  <c r="V46" i="31" s="1"/>
  <c r="C192" i="32"/>
  <c r="B115" i="30"/>
  <c r="B126" i="30" s="1"/>
  <c r="S34" i="29"/>
  <c r="AO165" i="28"/>
  <c r="AD228" i="28"/>
  <c r="K41" i="28" s="1"/>
  <c r="B54" i="30" s="1"/>
  <c r="C54" i="30" s="1"/>
  <c r="AH164" i="28"/>
  <c r="CM85" i="30"/>
  <c r="T34" i="29"/>
  <c r="CO85" i="30"/>
  <c r="DG85" i="30"/>
  <c r="DO85" i="30"/>
  <c r="DW85" i="30"/>
  <c r="N39" i="29"/>
  <c r="N43" i="29" s="1"/>
  <c r="B53" i="30"/>
  <c r="C53" i="30" s="1"/>
  <c r="DI85" i="30"/>
  <c r="DQ85" i="30"/>
  <c r="DY85" i="30"/>
  <c r="C91" i="32"/>
  <c r="B50" i="30"/>
  <c r="C50" i="30" s="1"/>
  <c r="P39" i="29"/>
  <c r="P43" i="29" s="1"/>
  <c r="P34" i="29"/>
  <c r="F7" i="30"/>
  <c r="L39" i="29"/>
  <c r="L43" i="29" s="1"/>
  <c r="W228" i="28"/>
  <c r="CK85" i="30"/>
  <c r="DE85" i="30"/>
  <c r="DM85" i="30"/>
  <c r="B98" i="30"/>
  <c r="BM85" i="30"/>
  <c r="W228" i="31"/>
  <c r="U228" i="31"/>
  <c r="X248" i="31"/>
  <c r="AO168" i="28"/>
  <c r="CB85" i="30"/>
  <c r="AY85" i="30"/>
  <c r="X39" i="29"/>
  <c r="X43" i="29" s="1"/>
  <c r="BR40" i="23"/>
  <c r="BR32" i="23"/>
  <c r="BR24" i="23"/>
  <c r="Q90" i="27"/>
  <c r="X90" i="27"/>
  <c r="C81" i="27"/>
  <c r="C90" i="27" s="1"/>
  <c r="D81" i="27"/>
  <c r="D90" i="27" s="1"/>
  <c r="E81" i="27"/>
  <c r="E90" i="27" s="1"/>
  <c r="F81" i="27"/>
  <c r="F90" i="27" s="1"/>
  <c r="G81" i="27"/>
  <c r="G90" i="27" s="1"/>
  <c r="H81" i="27"/>
  <c r="H90" i="27" s="1"/>
  <c r="I81" i="27"/>
  <c r="I90" i="27" s="1"/>
  <c r="J81" i="27"/>
  <c r="J90" i="27" s="1"/>
  <c r="K81" i="27"/>
  <c r="K90" i="27" s="1"/>
  <c r="L81" i="27"/>
  <c r="L90" i="27" s="1"/>
  <c r="M81" i="27"/>
  <c r="M90" i="27" s="1"/>
  <c r="N81" i="27"/>
  <c r="N90" i="27" s="1"/>
  <c r="O81" i="27"/>
  <c r="O90" i="27" s="1"/>
  <c r="P81" i="27"/>
  <c r="P90" i="27" s="1"/>
  <c r="Q81" i="27"/>
  <c r="R81" i="27"/>
  <c r="R90" i="27" s="1"/>
  <c r="S81" i="27"/>
  <c r="S90" i="27" s="1"/>
  <c r="T81" i="27"/>
  <c r="T90" i="27" s="1"/>
  <c r="U81" i="27"/>
  <c r="U90" i="27" s="1"/>
  <c r="V81" i="27"/>
  <c r="V90" i="27" s="1"/>
  <c r="W81" i="27"/>
  <c r="W90" i="27" s="1"/>
  <c r="X81" i="27"/>
  <c r="Y81" i="27"/>
  <c r="Y90" i="27" s="1"/>
  <c r="B81" i="27"/>
  <c r="B90" i="27" s="1"/>
  <c r="BB83" i="27"/>
  <c r="BA83" i="27"/>
  <c r="AZ83" i="27"/>
  <c r="AY83" i="27"/>
  <c r="AX83" i="27"/>
  <c r="AW83" i="27"/>
  <c r="AV83" i="27"/>
  <c r="AU83" i="27"/>
  <c r="AT83" i="27"/>
  <c r="AS83" i="27"/>
  <c r="AR83" i="27"/>
  <c r="AQ83" i="27"/>
  <c r="AP83" i="27"/>
  <c r="AO83" i="27"/>
  <c r="AN83" i="27"/>
  <c r="AM83" i="27"/>
  <c r="AL83" i="27"/>
  <c r="AK83" i="27"/>
  <c r="AJ83" i="27"/>
  <c r="AI83" i="27"/>
  <c r="AH83" i="27"/>
  <c r="AG83" i="27"/>
  <c r="AF83" i="27"/>
  <c r="AE83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D41" i="32" l="1"/>
  <c r="AI228" i="31"/>
  <c r="C133" i="31" s="1"/>
  <c r="J133" i="31" s="1"/>
  <c r="BQ86" i="30"/>
  <c r="BQ87" i="30"/>
  <c r="BR86" i="30"/>
  <c r="BR87" i="30"/>
  <c r="BP86" i="30"/>
  <c r="BP87" i="30"/>
  <c r="BN86" i="30"/>
  <c r="BN87" i="30"/>
  <c r="BO87" i="30"/>
  <c r="BO86" i="30"/>
  <c r="BL86" i="30"/>
  <c r="BL87" i="30"/>
  <c r="BM87" i="30"/>
  <c r="BM86" i="30"/>
  <c r="F77" i="30"/>
  <c r="C193" i="32"/>
  <c r="D193" i="32" s="1"/>
  <c r="C277" i="32"/>
  <c r="D277" i="32" s="1"/>
  <c r="C191" i="32"/>
  <c r="B109" i="30"/>
  <c r="B112" i="30" s="1"/>
  <c r="B125" i="30" s="1"/>
  <c r="D243" i="32"/>
  <c r="C276" i="32"/>
  <c r="C304" i="32"/>
  <c r="AQ3" i="29"/>
  <c r="C305" i="32"/>
  <c r="AA237" i="31"/>
  <c r="C244" i="32" s="1"/>
  <c r="BE86" i="30"/>
  <c r="BE87" i="30"/>
  <c r="BD86" i="30"/>
  <c r="BD87" i="30"/>
  <c r="BF87" i="30"/>
  <c r="BF86" i="30"/>
  <c r="BH86" i="30"/>
  <c r="BH87" i="30"/>
  <c r="AX87" i="30"/>
  <c r="AX86" i="30"/>
  <c r="AZ86" i="30"/>
  <c r="AZ87" i="30"/>
  <c r="BB86" i="30"/>
  <c r="BB87" i="30"/>
  <c r="BG86" i="30"/>
  <c r="BG87" i="30"/>
  <c r="BA87" i="30"/>
  <c r="BA86" i="30"/>
  <c r="BC86" i="30"/>
  <c r="BC87" i="30"/>
  <c r="AY87" i="30"/>
  <c r="AY86" i="30"/>
  <c r="BJ87" i="30"/>
  <c r="BJ86" i="30"/>
  <c r="AW86" i="30"/>
  <c r="AW87" i="30"/>
  <c r="F52" i="30"/>
  <c r="C264" i="32" s="1"/>
  <c r="K48" i="28"/>
  <c r="B154" i="31" s="1"/>
  <c r="B155" i="31" s="1"/>
  <c r="I155" i="31" s="1"/>
  <c r="M29" i="28"/>
  <c r="B56" i="30" s="1"/>
  <c r="C56" i="30" s="1"/>
  <c r="M30" i="28"/>
  <c r="B57" i="30" s="1"/>
  <c r="C57" i="30" s="1"/>
  <c r="AI228" i="28"/>
  <c r="BK85" i="30"/>
  <c r="AH228" i="31"/>
  <c r="C132" i="31" s="1"/>
  <c r="J132" i="31" s="1"/>
  <c r="F51" i="30"/>
  <c r="C263" i="32" s="1"/>
  <c r="AJ228" i="31"/>
  <c r="C134" i="31" s="1"/>
  <c r="J134" i="31" s="1"/>
  <c r="AJ36" i="31"/>
  <c r="F5" i="30"/>
  <c r="C245" i="32" s="1"/>
  <c r="V265" i="31"/>
  <c r="AJ228" i="28"/>
  <c r="AH228" i="28"/>
  <c r="BI85" i="30"/>
  <c r="AQ4" i="29"/>
  <c r="DX102" i="30"/>
  <c r="Z11" i="30" s="1"/>
  <c r="CG102" i="30"/>
  <c r="L10" i="30" s="1"/>
  <c r="DV102" i="30"/>
  <c r="X11" i="30" s="1"/>
  <c r="CF102" i="30"/>
  <c r="K10" i="30" s="1"/>
  <c r="CY102" i="30"/>
  <c r="AD10" i="30" s="1"/>
  <c r="CI102" i="30"/>
  <c r="N10" i="30" s="1"/>
  <c r="CL102" i="30"/>
  <c r="Q10" i="30" s="1"/>
  <c r="DJ102" i="30"/>
  <c r="L11" i="30" s="1"/>
  <c r="CP102" i="30"/>
  <c r="U10" i="30" s="1"/>
  <c r="CX102" i="30"/>
  <c r="AC10" i="30" s="1"/>
  <c r="CD102" i="30"/>
  <c r="I10" i="30" s="1"/>
  <c r="CQ102" i="30"/>
  <c r="V10" i="30" s="1"/>
  <c r="CV102" i="30"/>
  <c r="AA10" i="30" s="1"/>
  <c r="DN102" i="30"/>
  <c r="P11" i="30" s="1"/>
  <c r="DR102" i="30"/>
  <c r="T11" i="30" s="1"/>
  <c r="C247" i="32"/>
  <c r="C87" i="32"/>
  <c r="W155" i="31"/>
  <c r="Y155" i="31" s="1"/>
  <c r="Z155" i="31" s="1"/>
  <c r="B160" i="31" s="1"/>
  <c r="J160" i="31" s="1"/>
  <c r="C232" i="32" s="1"/>
  <c r="F50" i="30"/>
  <c r="C86" i="32"/>
  <c r="W154" i="31"/>
  <c r="Y154" i="31" s="1"/>
  <c r="Z154" i="31" s="1"/>
  <c r="B159" i="31" s="1"/>
  <c r="J159" i="31" s="1"/>
  <c r="C231" i="32" s="1"/>
  <c r="BS102" i="30"/>
  <c r="AD9" i="30" s="1"/>
  <c r="DZ102" i="30"/>
  <c r="AB11" i="30" s="1"/>
  <c r="CJ102" i="30"/>
  <c r="O10" i="30" s="1"/>
  <c r="K253" i="32"/>
  <c r="L253" i="32" s="1"/>
  <c r="CO102" i="30"/>
  <c r="T10" i="30" s="1"/>
  <c r="C81" i="32"/>
  <c r="DF102" i="30"/>
  <c r="H11" i="30" s="1"/>
  <c r="C246" i="32"/>
  <c r="F53" i="30"/>
  <c r="C265" i="32" s="1"/>
  <c r="F54" i="30"/>
  <c r="C266" i="32" s="1"/>
  <c r="B55" i="30"/>
  <c r="C55" i="30" s="1"/>
  <c r="K43" i="28"/>
  <c r="C88" i="32" s="1"/>
  <c r="C85" i="32"/>
  <c r="W153" i="31"/>
  <c r="Y153" i="31" s="1"/>
  <c r="B42" i="31"/>
  <c r="Z38" i="31"/>
  <c r="Z39" i="31" s="1"/>
  <c r="CH102" i="30"/>
  <c r="M10" i="30" s="1"/>
  <c r="D293" i="32"/>
  <c r="D291" i="32"/>
  <c r="EB102" i="30"/>
  <c r="AD11" i="30" s="1"/>
  <c r="BC102" i="30" l="1"/>
  <c r="N9" i="30" s="1"/>
  <c r="N13" i="30" s="1"/>
  <c r="D191" i="32"/>
  <c r="C275" i="32"/>
  <c r="D244" i="32"/>
  <c r="AB237" i="31"/>
  <c r="AC237" i="31" s="1"/>
  <c r="AF237" i="31" s="1"/>
  <c r="B178" i="31" s="1"/>
  <c r="C240" i="32" s="1"/>
  <c r="BK87" i="30"/>
  <c r="BK86" i="30"/>
  <c r="BI87" i="30"/>
  <c r="BI86" i="30"/>
  <c r="B149" i="31"/>
  <c r="J149" i="31" s="1"/>
  <c r="C222" i="32" s="1"/>
  <c r="J154" i="31"/>
  <c r="C227" i="32" s="1"/>
  <c r="F57" i="30"/>
  <c r="C269" i="32" s="1"/>
  <c r="F56" i="30"/>
  <c r="C268" i="32" s="1"/>
  <c r="AW102" i="30"/>
  <c r="H9" i="30" s="1"/>
  <c r="BJ102" i="30"/>
  <c r="U9" i="30" s="1"/>
  <c r="BF102" i="30"/>
  <c r="Q9" i="30" s="1"/>
  <c r="BN102" i="30"/>
  <c r="Y9" i="30" s="1"/>
  <c r="AX102" i="30"/>
  <c r="I9" i="30" s="1"/>
  <c r="B58" i="30"/>
  <c r="C58" i="30" s="1"/>
  <c r="F55" i="30"/>
  <c r="C267" i="32" s="1"/>
  <c r="DG102" i="30"/>
  <c r="I11" i="30" s="1"/>
  <c r="BH102" i="30"/>
  <c r="S9" i="30" s="1"/>
  <c r="AZ102" i="30"/>
  <c r="K9" i="30" s="1"/>
  <c r="DQ102" i="30"/>
  <c r="S11" i="30" s="1"/>
  <c r="AY102" i="30"/>
  <c r="J9" i="30" s="1"/>
  <c r="BM102" i="30"/>
  <c r="X9" i="30" s="1"/>
  <c r="BA102" i="30"/>
  <c r="L9" i="30" s="1"/>
  <c r="L13" i="30" s="1"/>
  <c r="BL102" i="30"/>
  <c r="W9" i="30" s="1"/>
  <c r="DI102" i="30"/>
  <c r="K11" i="30" s="1"/>
  <c r="CW102" i="30"/>
  <c r="AB10" i="30" s="1"/>
  <c r="BE102" i="30"/>
  <c r="P9" i="30" s="1"/>
  <c r="BB102" i="30"/>
  <c r="M9" i="30" s="1"/>
  <c r="DH102" i="30"/>
  <c r="J11" i="30" s="1"/>
  <c r="CN102" i="30"/>
  <c r="S10" i="30" s="1"/>
  <c r="DK102" i="30"/>
  <c r="M11" i="30" s="1"/>
  <c r="BG102" i="30"/>
  <c r="R9" i="30" s="1"/>
  <c r="AV102" i="30"/>
  <c r="G9" i="30" s="1"/>
  <c r="EA102" i="30"/>
  <c r="AC11" i="30" s="1"/>
  <c r="BR102" i="30"/>
  <c r="AC9" i="30" s="1"/>
  <c r="CM102" i="30"/>
  <c r="R10" i="30" s="1"/>
  <c r="CK102" i="30"/>
  <c r="P10" i="30" s="1"/>
  <c r="C82" i="32"/>
  <c r="D81" i="32" s="1"/>
  <c r="J205" i="32" s="1"/>
  <c r="L205" i="32" s="1"/>
  <c r="C262" i="32"/>
  <c r="BO102" i="30"/>
  <c r="Z9" i="30" s="1"/>
  <c r="J42" i="31"/>
  <c r="C206" i="32" s="1"/>
  <c r="B44" i="31"/>
  <c r="J44" i="31" s="1"/>
  <c r="C208" i="32" s="1"/>
  <c r="Y156" i="31"/>
  <c r="Z156" i="31" s="1"/>
  <c r="B161" i="31" s="1"/>
  <c r="J161" i="31" s="1"/>
  <c r="C233" i="32" s="1"/>
  <c r="CE102" i="30"/>
  <c r="J10" i="30" s="1"/>
  <c r="BQ102" i="30"/>
  <c r="AB9" i="30" s="1"/>
  <c r="BD102" i="30"/>
  <c r="O9" i="30" s="1"/>
  <c r="DU102" i="30"/>
  <c r="W11" i="30" s="1"/>
  <c r="D262" i="32"/>
  <c r="DO102" i="30"/>
  <c r="Q11" i="30" s="1"/>
  <c r="DE102" i="30"/>
  <c r="G11" i="30" s="1"/>
  <c r="D245" i="32"/>
  <c r="DS102" i="30"/>
  <c r="U11" i="30" s="1"/>
  <c r="DW102" i="30"/>
  <c r="Y11" i="30" s="1"/>
  <c r="DM102" i="30"/>
  <c r="O11" i="30" s="1"/>
  <c r="CU102" i="30"/>
  <c r="Z10" i="30" s="1"/>
  <c r="D246" i="32"/>
  <c r="CC102" i="30"/>
  <c r="H10" i="30" s="1"/>
  <c r="H13" i="30" s="1"/>
  <c r="DY102" i="30"/>
  <c r="AA11" i="30" s="1"/>
  <c r="BP102" i="30"/>
  <c r="AA9" i="30" s="1"/>
  <c r="CS102" i="30"/>
  <c r="X10" i="30" s="1"/>
  <c r="D247" i="32"/>
  <c r="B43" i="31"/>
  <c r="J43" i="31" s="1"/>
  <c r="AB39" i="31"/>
  <c r="AB38" i="31"/>
  <c r="AB40" i="31"/>
  <c r="AD40" i="31" s="1"/>
  <c r="C97" i="32"/>
  <c r="AD13" i="30"/>
  <c r="CB102" i="30"/>
  <c r="G10" i="30" s="1"/>
  <c r="AC81" i="18"/>
  <c r="AC80" i="18"/>
  <c r="AC79" i="18"/>
  <c r="AC78" i="18"/>
  <c r="AC77" i="18"/>
  <c r="Q13" i="30" l="1"/>
  <c r="U13" i="30"/>
  <c r="C290" i="32"/>
  <c r="D275" i="32"/>
  <c r="Y13" i="30"/>
  <c r="BK102" i="30"/>
  <c r="V9" i="30" s="1"/>
  <c r="V13" i="30" s="1"/>
  <c r="W13" i="30"/>
  <c r="AC13" i="30"/>
  <c r="F58" i="30"/>
  <c r="I13" i="30"/>
  <c r="S13" i="30"/>
  <c r="O253" i="32"/>
  <c r="K13" i="30"/>
  <c r="R13" i="30"/>
  <c r="M13" i="30"/>
  <c r="AB13" i="30"/>
  <c r="X13" i="30"/>
  <c r="D227" i="32"/>
  <c r="J13" i="30"/>
  <c r="D97" i="32"/>
  <c r="D75" i="32"/>
  <c r="D232" i="32"/>
  <c r="D85" i="32"/>
  <c r="K258" i="32" s="1"/>
  <c r="L258" i="32" s="1"/>
  <c r="D233" i="32"/>
  <c r="P13" i="30"/>
  <c r="D87" i="32"/>
  <c r="K260" i="32" s="1"/>
  <c r="L260" i="32" s="1"/>
  <c r="D86" i="32"/>
  <c r="K259" i="32" s="1"/>
  <c r="L259" i="32" s="1"/>
  <c r="D231" i="32"/>
  <c r="D208" i="32"/>
  <c r="D88" i="32"/>
  <c r="K261" i="32" s="1"/>
  <c r="L261" i="32" s="1"/>
  <c r="D206" i="32"/>
  <c r="AA13" i="30"/>
  <c r="Z13" i="30"/>
  <c r="BI102" i="30"/>
  <c r="T9" i="30" s="1"/>
  <c r="T13" i="30" s="1"/>
  <c r="F10" i="30"/>
  <c r="B92" i="30" s="1"/>
  <c r="D92" i="30" s="1"/>
  <c r="C207" i="32"/>
  <c r="F11" i="30"/>
  <c r="B93" i="30" s="1"/>
  <c r="D93" i="30" s="1"/>
  <c r="G13" i="30"/>
  <c r="O13" i="30"/>
  <c r="Z153" i="31"/>
  <c r="B158" i="31" s="1"/>
  <c r="J158" i="31" s="1"/>
  <c r="D222" i="32"/>
  <c r="D229" i="32"/>
  <c r="L225" i="32"/>
  <c r="L224" i="32"/>
  <c r="L223" i="32"/>
  <c r="D228" i="32"/>
  <c r="D198" i="32"/>
  <c r="D213" i="32"/>
  <c r="D215" i="32"/>
  <c r="D196" i="32"/>
  <c r="D200" i="32"/>
  <c r="D167" i="32"/>
  <c r="D162" i="32"/>
  <c r="D148" i="32"/>
  <c r="D141" i="32"/>
  <c r="D137" i="32"/>
  <c r="D66" i="32"/>
  <c r="G63" i="32"/>
  <c r="D140" i="32"/>
  <c r="D150" i="32"/>
  <c r="D161" i="32"/>
  <c r="D195" i="32"/>
  <c r="D138" i="32"/>
  <c r="D163" i="32"/>
  <c r="D197" i="32"/>
  <c r="D226" i="32"/>
  <c r="D65" i="32"/>
  <c r="J193" i="32" s="1"/>
  <c r="J194" i="32" s="1"/>
  <c r="J217" i="32"/>
  <c r="J216" i="32"/>
  <c r="D80" i="32"/>
  <c r="J206" i="32" s="1"/>
  <c r="L206" i="32" s="1"/>
  <c r="L209" i="32" s="1"/>
  <c r="D139" i="32"/>
  <c r="D168" i="32"/>
  <c r="D146" i="32"/>
  <c r="D64" i="32"/>
  <c r="Q193" i="32" s="1"/>
  <c r="Q194" i="32" s="1"/>
  <c r="J218" i="32"/>
  <c r="D63" i="32"/>
  <c r="W193" i="32" s="1"/>
  <c r="W194" i="32" s="1"/>
  <c r="D147" i="32"/>
  <c r="D149" i="32"/>
  <c r="D212" i="32"/>
  <c r="D164" i="32"/>
  <c r="D96" i="32"/>
  <c r="D92" i="32"/>
  <c r="D77" i="32"/>
  <c r="D93" i="32"/>
  <c r="D71" i="32"/>
  <c r="D219" i="32"/>
  <c r="D90" i="32"/>
  <c r="K254" i="32" s="1"/>
  <c r="L254" i="32" s="1"/>
  <c r="D205" i="32"/>
  <c r="D79" i="32"/>
  <c r="D73" i="32"/>
  <c r="K255" i="32" s="1"/>
  <c r="L255" i="32" s="1"/>
  <c r="D94" i="32"/>
  <c r="D76" i="32"/>
  <c r="D78" i="32"/>
  <c r="D89" i="32"/>
  <c r="K262" i="32" s="1"/>
  <c r="D204" i="32"/>
  <c r="D95" i="32"/>
  <c r="D74" i="32"/>
  <c r="D91" i="32"/>
  <c r="D72" i="32"/>
  <c r="AD79" i="18"/>
  <c r="AD80" i="18"/>
  <c r="AD81" i="18"/>
  <c r="AD78" i="18"/>
  <c r="C249" i="32" l="1"/>
  <c r="C270" i="32"/>
  <c r="C289" i="32" s="1"/>
  <c r="B108" i="30"/>
  <c r="B123" i="30" s="1"/>
  <c r="D269" i="32"/>
  <c r="O258" i="32"/>
  <c r="O261" i="32"/>
  <c r="D268" i="32"/>
  <c r="F9" i="30"/>
  <c r="C248" i="32" s="1"/>
  <c r="C250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DK72" i="32"/>
  <c r="DK84" i="32" s="1"/>
  <c r="DX67" i="32"/>
  <c r="DX78" i="32" s="1"/>
  <c r="DK64" i="32"/>
  <c r="DK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EA68" i="32"/>
  <c r="EA79" i="32" s="1"/>
  <c r="CX73" i="32"/>
  <c r="CX85" i="32" s="1"/>
  <c r="CM73" i="32"/>
  <c r="CM85" i="32" s="1"/>
  <c r="CC73" i="32"/>
  <c r="CC85" i="32" s="1"/>
  <c r="CQ72" i="32"/>
  <c r="CQ84" i="32" s="1"/>
  <c r="CF72" i="32"/>
  <c r="CF84" i="32" s="1"/>
  <c r="CU71" i="32"/>
  <c r="CU82" i="32" s="1"/>
  <c r="CJ71" i="32"/>
  <c r="CJ82" i="32" s="1"/>
  <c r="CR70" i="32"/>
  <c r="CR81" i="32" s="1"/>
  <c r="CG70" i="32"/>
  <c r="CG81" i="32" s="1"/>
  <c r="CX69" i="32"/>
  <c r="CX80" i="32" s="1"/>
  <c r="CM69" i="32"/>
  <c r="CM80" i="32" s="1"/>
  <c r="CC69" i="32"/>
  <c r="CC80" i="32" s="1"/>
  <c r="CQ68" i="32"/>
  <c r="CQ79" i="32" s="1"/>
  <c r="CF68" i="32"/>
  <c r="CF79" i="32" s="1"/>
  <c r="CU67" i="32"/>
  <c r="CU78" i="32" s="1"/>
  <c r="CJ67" i="32"/>
  <c r="CJ78" i="32" s="1"/>
  <c r="CR66" i="32"/>
  <c r="CR77" i="32" s="1"/>
  <c r="CG66" i="32"/>
  <c r="CG77" i="32" s="1"/>
  <c r="CX65" i="32"/>
  <c r="CX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155" i="32" s="1"/>
  <c r="BO68" i="32"/>
  <c r="BK68" i="32"/>
  <c r="BK79" i="32" s="1"/>
  <c r="BG68" i="32"/>
  <c r="BG79" i="32" s="1"/>
  <c r="BC68" i="32"/>
  <c r="BC79" i="32" s="1"/>
  <c r="AY68" i="32"/>
  <c r="AY79" i="32" s="1"/>
  <c r="BS67" i="32"/>
  <c r="BS154" i="32" s="1"/>
  <c r="BO67" i="32"/>
  <c r="BO154" i="32" s="1"/>
  <c r="BK67" i="32"/>
  <c r="BG67" i="32"/>
  <c r="BC67" i="32"/>
  <c r="AY67" i="32"/>
  <c r="AY154" i="32" s="1"/>
  <c r="BS66" i="32"/>
  <c r="BS153" i="32" s="1"/>
  <c r="BO66" i="32"/>
  <c r="BO153" i="32" s="1"/>
  <c r="BK66" i="32"/>
  <c r="BK153" i="32" s="1"/>
  <c r="BG66" i="32"/>
  <c r="BG153" i="32" s="1"/>
  <c r="BC66" i="32"/>
  <c r="BC153" i="32" s="1"/>
  <c r="AY66" i="32"/>
  <c r="AY153" i="32" s="1"/>
  <c r="BS65" i="32"/>
  <c r="BS152" i="32" s="1"/>
  <c r="BO65" i="32"/>
  <c r="BO152" i="32" s="1"/>
  <c r="BK65" i="32"/>
  <c r="BG65" i="32"/>
  <c r="BC65" i="32"/>
  <c r="AY65" i="32"/>
  <c r="AY152" i="32" s="1"/>
  <c r="BS64" i="32"/>
  <c r="BS75" i="32" s="1"/>
  <c r="BO64" i="32"/>
  <c r="BO75" i="32" s="1"/>
  <c r="BK64" i="32"/>
  <c r="BK75" i="32" s="1"/>
  <c r="BG64" i="32"/>
  <c r="BG75" i="32" s="1"/>
  <c r="BC64" i="32"/>
  <c r="BC151" i="32" s="1"/>
  <c r="AY64" i="32"/>
  <c r="AY75" i="32" s="1"/>
  <c r="DN73" i="32"/>
  <c r="DN85" i="32" s="1"/>
  <c r="DQ70" i="32"/>
  <c r="DQ81" i="32" s="1"/>
  <c r="DN65" i="32"/>
  <c r="DN76" i="32" s="1"/>
  <c r="CW73" i="32"/>
  <c r="CW85" i="32" s="1"/>
  <c r="CL73" i="32"/>
  <c r="CL85" i="32" s="1"/>
  <c r="CP72" i="32"/>
  <c r="CP84" i="32" s="1"/>
  <c r="CE72" i="32"/>
  <c r="CE84" i="32" s="1"/>
  <c r="CS71" i="32"/>
  <c r="CS82" i="32" s="1"/>
  <c r="CI71" i="32"/>
  <c r="CI82" i="32" s="1"/>
  <c r="CX70" i="32"/>
  <c r="CX81" i="32" s="1"/>
  <c r="CN70" i="32"/>
  <c r="CN81" i="32" s="1"/>
  <c r="CC70" i="32"/>
  <c r="CC81" i="32" s="1"/>
  <c r="CW69" i="32"/>
  <c r="CW80" i="32" s="1"/>
  <c r="CL69" i="32"/>
  <c r="CL80" i="32" s="1"/>
  <c r="CP68" i="32"/>
  <c r="CP79" i="32" s="1"/>
  <c r="CE68" i="32"/>
  <c r="CE79" i="32" s="1"/>
  <c r="CS67" i="32"/>
  <c r="CS78" i="32" s="1"/>
  <c r="CI67" i="32"/>
  <c r="CI78" i="32" s="1"/>
  <c r="CX66" i="32"/>
  <c r="CX77" i="32" s="1"/>
  <c r="CN66" i="32"/>
  <c r="CN77" i="32" s="1"/>
  <c r="CC66" i="32"/>
  <c r="CC77" i="32" s="1"/>
  <c r="CW65" i="32"/>
  <c r="CW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J68" i="32"/>
  <c r="BJ79" i="32" s="1"/>
  <c r="BF68" i="32"/>
  <c r="BF79" i="32" s="1"/>
  <c r="BB68" i="32"/>
  <c r="BB79" i="32" s="1"/>
  <c r="AX68" i="32"/>
  <c r="AX79" i="32" s="1"/>
  <c r="BR67" i="32"/>
  <c r="BR154" i="32" s="1"/>
  <c r="BN67" i="32"/>
  <c r="BJ67" i="32"/>
  <c r="BF67" i="32"/>
  <c r="BB67" i="32"/>
  <c r="AX67" i="32"/>
  <c r="AX154" i="32" s="1"/>
  <c r="BR66" i="32"/>
  <c r="BR153" i="32" s="1"/>
  <c r="BN66" i="32"/>
  <c r="BN153" i="32" s="1"/>
  <c r="BJ66" i="32"/>
  <c r="BJ153" i="32" s="1"/>
  <c r="BF66" i="32"/>
  <c r="BF153" i="32" s="1"/>
  <c r="BB66" i="32"/>
  <c r="BB153" i="32" s="1"/>
  <c r="AX66" i="32"/>
  <c r="AX153" i="32" s="1"/>
  <c r="BR65" i="32"/>
  <c r="BR152" i="32" s="1"/>
  <c r="BN65" i="32"/>
  <c r="BJ65" i="32"/>
  <c r="BF65" i="32"/>
  <c r="BB65" i="32"/>
  <c r="AX65" i="32"/>
  <c r="AX152" i="32" s="1"/>
  <c r="BR64" i="32"/>
  <c r="BR75" i="32" s="1"/>
  <c r="BN64" i="32"/>
  <c r="BN75" i="32" s="1"/>
  <c r="BJ64" i="32"/>
  <c r="BJ75" i="32" s="1"/>
  <c r="BF64" i="32"/>
  <c r="BF75" i="32" s="1"/>
  <c r="BB64" i="32"/>
  <c r="BB151" i="32" s="1"/>
  <c r="AX64" i="32"/>
  <c r="AX75" i="32" s="1"/>
  <c r="DH67" i="32"/>
  <c r="DH78" i="32" s="1"/>
  <c r="CS73" i="32"/>
  <c r="CS85" i="32" s="1"/>
  <c r="CH73" i="32"/>
  <c r="CH85" i="32" s="1"/>
  <c r="CV72" i="32"/>
  <c r="CV84" i="32" s="1"/>
  <c r="CL72" i="32"/>
  <c r="CL84" i="32" s="1"/>
  <c r="CO71" i="32"/>
  <c r="CO82" i="32" s="1"/>
  <c r="CE71" i="32"/>
  <c r="CE82" i="32" s="1"/>
  <c r="CW70" i="32"/>
  <c r="CW81" i="32" s="1"/>
  <c r="CL70" i="32"/>
  <c r="CL81" i="32" s="1"/>
  <c r="CB70" i="32"/>
  <c r="CB81" i="32" s="1"/>
  <c r="CS69" i="32"/>
  <c r="CS80" i="32" s="1"/>
  <c r="CH69" i="32"/>
  <c r="CH80" i="32" s="1"/>
  <c r="CV68" i="32"/>
  <c r="CV79" i="32" s="1"/>
  <c r="CL68" i="32"/>
  <c r="CL79" i="32" s="1"/>
  <c r="CO67" i="32"/>
  <c r="CO78" i="32" s="1"/>
  <c r="CE67" i="32"/>
  <c r="CE78" i="32" s="1"/>
  <c r="CW66" i="32"/>
  <c r="CW77" i="32" s="1"/>
  <c r="CL66" i="32"/>
  <c r="CL77" i="32" s="1"/>
  <c r="CB66" i="32"/>
  <c r="CB77" i="32" s="1"/>
  <c r="CS65" i="32"/>
  <c r="CS76" i="32" s="1"/>
  <c r="CI65" i="32"/>
  <c r="CI76" i="32" s="1"/>
  <c r="CR64" i="32"/>
  <c r="CR75" i="32" s="1"/>
  <c r="CJ64" i="32"/>
  <c r="CJ75" i="32" s="1"/>
  <c r="CB64" i="32"/>
  <c r="CB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I68" i="32"/>
  <c r="BI79" i="32" s="1"/>
  <c r="BE68" i="32"/>
  <c r="BE79" i="32" s="1"/>
  <c r="BA68" i="32"/>
  <c r="BA79" i="32" s="1"/>
  <c r="AW68" i="32"/>
  <c r="AW79" i="32" s="1"/>
  <c r="BQ67" i="32"/>
  <c r="BQ154" i="32" s="1"/>
  <c r="BM67" i="32"/>
  <c r="BI67" i="32"/>
  <c r="BE67" i="32"/>
  <c r="BA67" i="32"/>
  <c r="AW67" i="32"/>
  <c r="AW154" i="32" s="1"/>
  <c r="BQ66" i="32"/>
  <c r="BQ153" i="32" s="1"/>
  <c r="BM66" i="32"/>
  <c r="BM153" i="32" s="1"/>
  <c r="BI66" i="32"/>
  <c r="BI153" i="32" s="1"/>
  <c r="BE66" i="32"/>
  <c r="BE153" i="32" s="1"/>
  <c r="BA66" i="32"/>
  <c r="BA153" i="32" s="1"/>
  <c r="AW66" i="32"/>
  <c r="AW153" i="32" s="1"/>
  <c r="BQ65" i="32"/>
  <c r="BQ152" i="32" s="1"/>
  <c r="BM65" i="32"/>
  <c r="BI65" i="32"/>
  <c r="BE65" i="32"/>
  <c r="BA65" i="32"/>
  <c r="AW65" i="32"/>
  <c r="AW152" i="32" s="1"/>
  <c r="BQ64" i="32"/>
  <c r="BQ75" i="32" s="1"/>
  <c r="BM64" i="32"/>
  <c r="BM75" i="32" s="1"/>
  <c r="BI64" i="32"/>
  <c r="BI75" i="32" s="1"/>
  <c r="BE64" i="32"/>
  <c r="BE151" i="32" s="1"/>
  <c r="BA64" i="32"/>
  <c r="BA75" i="32" s="1"/>
  <c r="AW64" i="32"/>
  <c r="AW75" i="32" s="1"/>
  <c r="CY71" i="32"/>
  <c r="CY82" i="32" s="1"/>
  <c r="CS70" i="32"/>
  <c r="CS81" i="32" s="1"/>
  <c r="CG69" i="32"/>
  <c r="CG80" i="32" s="1"/>
  <c r="CQ65" i="32"/>
  <c r="CQ76" i="32" s="1"/>
  <c r="CQ64" i="32"/>
  <c r="CQ75" i="32" s="1"/>
  <c r="BH73" i="32"/>
  <c r="BH85" i="32" s="1"/>
  <c r="BP72" i="32"/>
  <c r="BP84" i="32" s="1"/>
  <c r="AZ72" i="32"/>
  <c r="AZ84" i="32" s="1"/>
  <c r="BH71" i="32"/>
  <c r="BH82" i="32" s="1"/>
  <c r="BP70" i="32"/>
  <c r="BP81" i="32" s="1"/>
  <c r="AZ70" i="32"/>
  <c r="AZ81" i="32" s="1"/>
  <c r="BH69" i="32"/>
  <c r="BH80" i="32" s="1"/>
  <c r="BP68" i="32"/>
  <c r="AZ68" i="32"/>
  <c r="AZ79" i="32" s="1"/>
  <c r="BH67" i="32"/>
  <c r="BP66" i="32"/>
  <c r="BP153" i="32" s="1"/>
  <c r="AZ66" i="32"/>
  <c r="AZ153" i="32" s="1"/>
  <c r="BH65" i="32"/>
  <c r="BP64" i="32"/>
  <c r="BP75" i="32" s="1"/>
  <c r="AZ64" i="32"/>
  <c r="AZ75" i="32" s="1"/>
  <c r="CU72" i="32"/>
  <c r="CU84" i="32" s="1"/>
  <c r="CN71" i="32"/>
  <c r="CN82" i="32" s="1"/>
  <c r="CH70" i="32"/>
  <c r="CH81" i="32" s="1"/>
  <c r="CY67" i="32"/>
  <c r="CY78" i="32" s="1"/>
  <c r="CS66" i="32"/>
  <c r="CS77" i="32" s="1"/>
  <c r="CH65" i="32"/>
  <c r="CH76" i="32" s="1"/>
  <c r="CI64" i="32"/>
  <c r="CI75" i="32" s="1"/>
  <c r="BD73" i="32"/>
  <c r="BD85" i="32" s="1"/>
  <c r="BL72" i="32"/>
  <c r="BL84" i="32" s="1"/>
  <c r="AV72" i="32"/>
  <c r="AV84" i="32" s="1"/>
  <c r="BD71" i="32"/>
  <c r="BD82" i="32" s="1"/>
  <c r="BL70" i="32"/>
  <c r="BL81" i="32" s="1"/>
  <c r="AV70" i="32"/>
  <c r="AV81" i="32" s="1"/>
  <c r="BD69" i="32"/>
  <c r="BD80" i="32" s="1"/>
  <c r="BL68" i="32"/>
  <c r="AV68" i="32"/>
  <c r="AV155" i="32" s="1"/>
  <c r="BD67" i="32"/>
  <c r="BL66" i="32"/>
  <c r="BL153" i="32" s="1"/>
  <c r="AV66" i="32"/>
  <c r="AV153" i="32" s="1"/>
  <c r="BD65" i="32"/>
  <c r="BL64" i="32"/>
  <c r="BL75" i="32" s="1"/>
  <c r="AV64" i="32"/>
  <c r="AV75" i="32" s="1"/>
  <c r="CQ73" i="32"/>
  <c r="CQ85" i="32" s="1"/>
  <c r="CJ72" i="32"/>
  <c r="CJ84" i="32" s="1"/>
  <c r="CC71" i="32"/>
  <c r="CC82" i="32" s="1"/>
  <c r="CU68" i="32"/>
  <c r="CU79" i="32" s="1"/>
  <c r="CN67" i="32"/>
  <c r="CN78" i="32" s="1"/>
  <c r="CH66" i="32"/>
  <c r="CH77" i="32" s="1"/>
  <c r="BP73" i="32"/>
  <c r="BP85" i="32" s="1"/>
  <c r="AZ73" i="32"/>
  <c r="AZ85" i="32" s="1"/>
  <c r="BH72" i="32"/>
  <c r="BH84" i="32" s="1"/>
  <c r="BP71" i="32"/>
  <c r="BP82" i="32" s="1"/>
  <c r="AZ71" i="32"/>
  <c r="AZ82" i="32" s="1"/>
  <c r="BH70" i="32"/>
  <c r="BH81" i="32" s="1"/>
  <c r="BP69" i="32"/>
  <c r="BP80" i="32" s="1"/>
  <c r="AZ69" i="32"/>
  <c r="AZ80" i="32" s="1"/>
  <c r="BH68" i="32"/>
  <c r="BH79" i="32" s="1"/>
  <c r="BP67" i="32"/>
  <c r="BP154" i="32" s="1"/>
  <c r="AZ67" i="32"/>
  <c r="AZ154" i="32" s="1"/>
  <c r="BH66" i="32"/>
  <c r="BH153" i="32" s="1"/>
  <c r="BP65" i="32"/>
  <c r="BP152" i="32" s="1"/>
  <c r="AZ65" i="32"/>
  <c r="AZ152" i="32" s="1"/>
  <c r="BH64" i="32"/>
  <c r="BH75" i="32" s="1"/>
  <c r="BL73" i="32"/>
  <c r="BL85" i="32" s="1"/>
  <c r="AV71" i="32"/>
  <c r="AV82" i="32" s="1"/>
  <c r="BD68" i="32"/>
  <c r="BD79" i="32" s="1"/>
  <c r="BL65" i="32"/>
  <c r="CJ68" i="32"/>
  <c r="CJ79" i="32" s="1"/>
  <c r="AV73" i="32"/>
  <c r="AV85" i="32" s="1"/>
  <c r="BD70" i="32"/>
  <c r="BD81" i="32" s="1"/>
  <c r="BL67" i="32"/>
  <c r="AV65" i="32"/>
  <c r="AV152" i="32" s="1"/>
  <c r="CG73" i="32"/>
  <c r="CG85" i="32" s="1"/>
  <c r="BD72" i="32"/>
  <c r="BD84" i="32" s="1"/>
  <c r="BL69" i="32"/>
  <c r="BL80" i="32" s="1"/>
  <c r="AV67" i="32"/>
  <c r="AV154" i="32" s="1"/>
  <c r="BD64" i="32"/>
  <c r="BD151" i="32" s="1"/>
  <c r="CQ69" i="32"/>
  <c r="CQ80" i="32" s="1"/>
  <c r="CC67" i="32"/>
  <c r="CC78" i="32" s="1"/>
  <c r="CY64" i="32"/>
  <c r="CY75" i="32" s="1"/>
  <c r="BL71" i="32"/>
  <c r="BL82" i="32" s="1"/>
  <c r="AV69" i="32"/>
  <c r="AV80" i="32" s="1"/>
  <c r="BD66" i="32"/>
  <c r="BD153" i="32" s="1"/>
  <c r="O260" i="32"/>
  <c r="J220" i="32"/>
  <c r="J221" i="32" s="1"/>
  <c r="O254" i="32"/>
  <c r="O262" i="32"/>
  <c r="D271" i="32"/>
  <c r="P199" i="32"/>
  <c r="Q199" i="32" s="1"/>
  <c r="P198" i="32"/>
  <c r="Q198" i="32" s="1"/>
  <c r="DV84" i="32"/>
  <c r="DH81" i="32"/>
  <c r="DH77" i="32"/>
  <c r="DV75" i="32"/>
  <c r="DP76" i="32"/>
  <c r="DE75" i="32"/>
  <c r="DX84" i="32"/>
  <c r="DM78" i="32"/>
  <c r="D267" i="32"/>
  <c r="K256" i="32"/>
  <c r="L256" i="32" s="1"/>
  <c r="K257" i="32"/>
  <c r="L257" i="32" s="1"/>
  <c r="V199" i="32"/>
  <c r="W199" i="32" s="1"/>
  <c r="V198" i="32"/>
  <c r="W198" i="32" s="1"/>
  <c r="F13" i="30"/>
  <c r="O255" i="32"/>
  <c r="I199" i="32"/>
  <c r="J199" i="32" s="1"/>
  <c r="I200" i="32"/>
  <c r="J200" i="32" s="1"/>
  <c r="I198" i="32"/>
  <c r="J198" i="32" s="1"/>
  <c r="C230" i="32"/>
  <c r="J170" i="31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C78" i="32" l="1"/>
  <c r="BC154" i="32"/>
  <c r="BO79" i="32"/>
  <c r="BO155" i="32"/>
  <c r="BD76" i="32"/>
  <c r="BD152" i="32"/>
  <c r="BE76" i="32"/>
  <c r="BE133" i="32" s="1"/>
  <c r="BE152" i="32"/>
  <c r="BF78" i="32"/>
  <c r="BF154" i="32"/>
  <c r="BN79" i="32"/>
  <c r="BN155" i="32"/>
  <c r="BK78" i="32"/>
  <c r="BK135" i="32" s="1"/>
  <c r="BK154" i="32"/>
  <c r="BA76" i="32"/>
  <c r="BA133" i="32" s="1"/>
  <c r="BA152" i="32"/>
  <c r="BB78" i="32"/>
  <c r="BB154" i="32"/>
  <c r="BL78" i="32"/>
  <c r="BL135" i="32" s="1"/>
  <c r="BL154" i="32"/>
  <c r="BH78" i="32"/>
  <c r="BH124" i="32" s="1"/>
  <c r="BH170" i="32" s="1"/>
  <c r="BH154" i="32"/>
  <c r="BI76" i="32"/>
  <c r="BI122" i="32" s="1"/>
  <c r="BI168" i="32" s="1"/>
  <c r="BI152" i="32"/>
  <c r="BJ78" i="32"/>
  <c r="BJ154" i="32"/>
  <c r="BG78" i="32"/>
  <c r="BG124" i="32" s="1"/>
  <c r="BG170" i="32" s="1"/>
  <c r="BG154" i="32"/>
  <c r="BM76" i="32"/>
  <c r="BM133" i="32" s="1"/>
  <c r="BM152" i="32"/>
  <c r="BN78" i="32"/>
  <c r="BN124" i="32" s="1"/>
  <c r="BN170" i="32" s="1"/>
  <c r="BN154" i="32"/>
  <c r="BC76" i="32"/>
  <c r="BC152" i="32"/>
  <c r="BC160" i="32" s="1"/>
  <c r="BC161" i="32" s="1"/>
  <c r="BC162" i="32" s="1"/>
  <c r="BH76" i="32"/>
  <c r="BH133" i="32" s="1"/>
  <c r="BH152" i="32"/>
  <c r="BM78" i="32"/>
  <c r="BM135" i="32" s="1"/>
  <c r="BM154" i="32"/>
  <c r="BN76" i="32"/>
  <c r="BN133" i="32" s="1"/>
  <c r="BN152" i="32"/>
  <c r="BD78" i="32"/>
  <c r="BD124" i="32" s="1"/>
  <c r="BD170" i="32" s="1"/>
  <c r="BD154" i="32"/>
  <c r="BP79" i="32"/>
  <c r="BP125" i="32" s="1"/>
  <c r="BP171" i="32" s="1"/>
  <c r="BP155" i="32"/>
  <c r="BP160" i="32" s="1"/>
  <c r="BP161" i="32" s="1"/>
  <c r="BP162" i="32" s="1"/>
  <c r="BA78" i="32"/>
  <c r="BA135" i="32" s="1"/>
  <c r="BA154" i="32"/>
  <c r="BB76" i="32"/>
  <c r="BB133" i="32" s="1"/>
  <c r="BB152" i="32"/>
  <c r="BB160" i="32" s="1"/>
  <c r="BB161" i="32" s="1"/>
  <c r="BB162" i="32" s="1"/>
  <c r="BG76" i="32"/>
  <c r="BG133" i="32" s="1"/>
  <c r="BG152" i="32"/>
  <c r="BE78" i="32"/>
  <c r="BE124" i="32" s="1"/>
  <c r="BE170" i="32" s="1"/>
  <c r="BE154" i="32"/>
  <c r="BM79" i="32"/>
  <c r="BM136" i="32" s="1"/>
  <c r="BM155" i="32"/>
  <c r="BF76" i="32"/>
  <c r="BF122" i="32" s="1"/>
  <c r="BF168" i="32" s="1"/>
  <c r="BF152" i="32"/>
  <c r="BF160" i="32" s="1"/>
  <c r="BF161" i="32" s="1"/>
  <c r="BF162" i="32" s="1"/>
  <c r="BK76" i="32"/>
  <c r="BK152" i="32"/>
  <c r="BL76" i="32"/>
  <c r="BL133" i="32" s="1"/>
  <c r="BL152" i="32"/>
  <c r="BL79" i="32"/>
  <c r="BL136" i="32" s="1"/>
  <c r="BL155" i="32"/>
  <c r="BI78" i="32"/>
  <c r="BI135" i="32" s="1"/>
  <c r="BI154" i="32"/>
  <c r="BJ76" i="32"/>
  <c r="BJ152" i="32"/>
  <c r="BJ160" i="32" s="1"/>
  <c r="BJ161" i="32" s="1"/>
  <c r="BJ162" i="32" s="1"/>
  <c r="O259" i="32"/>
  <c r="D270" i="32"/>
  <c r="B91" i="30"/>
  <c r="D91" i="30" s="1"/>
  <c r="BS77" i="32"/>
  <c r="BS134" i="32" s="1"/>
  <c r="L210" i="32"/>
  <c r="L211" i="32" s="1"/>
  <c r="L212" i="32" s="1"/>
  <c r="BN77" i="32"/>
  <c r="BN134" i="32" s="1"/>
  <c r="AV79" i="32"/>
  <c r="AV136" i="32" s="1"/>
  <c r="BO77" i="32"/>
  <c r="BO123" i="32" s="1"/>
  <c r="BO169" i="32" s="1"/>
  <c r="BO76" i="32"/>
  <c r="BO122" i="32" s="1"/>
  <c r="BO168" i="32" s="1"/>
  <c r="BR77" i="32"/>
  <c r="BR134" i="32" s="1"/>
  <c r="BB75" i="32"/>
  <c r="BB132" i="32" s="1"/>
  <c r="BQ79" i="32"/>
  <c r="BQ136" i="32" s="1"/>
  <c r="AY78" i="32"/>
  <c r="AY135" i="32" s="1"/>
  <c r="BC75" i="32"/>
  <c r="BC121" i="32" s="1"/>
  <c r="BC167" i="32" s="1"/>
  <c r="AX78" i="32"/>
  <c r="AX124" i="32" s="1"/>
  <c r="AX170" i="32" s="1"/>
  <c r="BE77" i="32"/>
  <c r="BE134" i="32" s="1"/>
  <c r="BS76" i="32"/>
  <c r="BS133" i="32" s="1"/>
  <c r="BF77" i="32"/>
  <c r="BF134" i="32" s="1"/>
  <c r="AV76" i="32"/>
  <c r="AV122" i="32" s="1"/>
  <c r="AV168" i="32" s="1"/>
  <c r="BS78" i="32"/>
  <c r="BS124" i="32" s="1"/>
  <c r="BS170" i="32" s="1"/>
  <c r="BP78" i="32"/>
  <c r="BP135" i="32" s="1"/>
  <c r="AW78" i="32"/>
  <c r="AW135" i="32" s="1"/>
  <c r="BE75" i="32"/>
  <c r="BE132" i="32" s="1"/>
  <c r="BM77" i="32"/>
  <c r="BM123" i="32" s="1"/>
  <c r="BM169" i="32" s="1"/>
  <c r="AW76" i="32"/>
  <c r="AW122" i="32" s="1"/>
  <c r="AW168" i="32" s="1"/>
  <c r="BH77" i="32"/>
  <c r="BH134" i="32" s="1"/>
  <c r="BK77" i="32"/>
  <c r="BK134" i="32" s="1"/>
  <c r="AX77" i="32"/>
  <c r="AX134" i="32" s="1"/>
  <c r="BP77" i="32"/>
  <c r="BP134" i="32" s="1"/>
  <c r="BS79" i="32"/>
  <c r="BS125" i="32" s="1"/>
  <c r="BS171" i="32" s="1"/>
  <c r="BC77" i="32"/>
  <c r="BC123" i="32" s="1"/>
  <c r="BC169" i="32" s="1"/>
  <c r="BR79" i="32"/>
  <c r="BR136" i="32" s="1"/>
  <c r="BB77" i="32"/>
  <c r="BB134" i="32" s="1"/>
  <c r="BO78" i="32"/>
  <c r="BO124" i="32" s="1"/>
  <c r="BO170" i="32" s="1"/>
  <c r="BG77" i="32"/>
  <c r="BG134" i="32" s="1"/>
  <c r="AY76" i="32"/>
  <c r="AY122" i="32" s="1"/>
  <c r="AY168" i="32" s="1"/>
  <c r="BQ77" i="32"/>
  <c r="BQ134" i="32" s="1"/>
  <c r="AW77" i="32"/>
  <c r="AW134" i="32" s="1"/>
  <c r="AZ76" i="32"/>
  <c r="AZ122" i="32" s="1"/>
  <c r="AZ168" i="32" s="1"/>
  <c r="AX76" i="32"/>
  <c r="AX122" i="32" s="1"/>
  <c r="AX168" i="32" s="1"/>
  <c r="BL77" i="32"/>
  <c r="BL123" i="32" s="1"/>
  <c r="BL169" i="32" s="1"/>
  <c r="Q200" i="32"/>
  <c r="D202" i="32" s="1"/>
  <c r="AV77" i="32"/>
  <c r="AV123" i="32" s="1"/>
  <c r="AV169" i="32" s="1"/>
  <c r="AV78" i="32"/>
  <c r="AV124" i="32" s="1"/>
  <c r="AV170" i="32" s="1"/>
  <c r="BD77" i="32"/>
  <c r="BD134" i="32" s="1"/>
  <c r="BA77" i="32"/>
  <c r="BA134" i="32" s="1"/>
  <c r="AZ78" i="32"/>
  <c r="AZ124" i="32" s="1"/>
  <c r="AZ170" i="32" s="1"/>
  <c r="BJ77" i="32"/>
  <c r="BJ134" i="32" s="1"/>
  <c r="BR78" i="32"/>
  <c r="BR124" i="32" s="1"/>
  <c r="BR170" i="32" s="1"/>
  <c r="BQ76" i="32"/>
  <c r="BQ122" i="32" s="1"/>
  <c r="BQ168" i="32" s="1"/>
  <c r="BR76" i="32"/>
  <c r="BR122" i="32" s="1"/>
  <c r="BR168" i="32" s="1"/>
  <c r="BI77" i="32"/>
  <c r="BI123" i="32" s="1"/>
  <c r="BI169" i="32" s="1"/>
  <c r="AY77" i="32"/>
  <c r="AY123" i="32" s="1"/>
  <c r="AY169" i="32" s="1"/>
  <c r="BD75" i="32"/>
  <c r="BD132" i="32" s="1"/>
  <c r="BQ78" i="32"/>
  <c r="BQ135" i="32" s="1"/>
  <c r="D263" i="32"/>
  <c r="AY160" i="32"/>
  <c r="AY161" i="32" s="1"/>
  <c r="AY162" i="32" s="1"/>
  <c r="BO160" i="32"/>
  <c r="BO161" i="32" s="1"/>
  <c r="BO162" i="32" s="1"/>
  <c r="BP76" i="32"/>
  <c r="BP133" i="32" s="1"/>
  <c r="AZ77" i="32"/>
  <c r="AZ134" i="32" s="1"/>
  <c r="AZ160" i="32"/>
  <c r="AZ161" i="32" s="1"/>
  <c r="AZ162" i="32" s="1"/>
  <c r="AW160" i="32"/>
  <c r="AW161" i="32" s="1"/>
  <c r="AW162" i="32" s="1"/>
  <c r="AX160" i="32"/>
  <c r="AX161" i="32" s="1"/>
  <c r="AX162" i="32" s="1"/>
  <c r="BS160" i="32"/>
  <c r="BS161" i="32" s="1"/>
  <c r="BS162" i="32" s="1"/>
  <c r="J201" i="32"/>
  <c r="D201" i="32" s="1"/>
  <c r="W200" i="32"/>
  <c r="D203" i="32" s="1"/>
  <c r="BQ160" i="32"/>
  <c r="BQ161" i="32" s="1"/>
  <c r="BQ162" i="32" s="1"/>
  <c r="BR160" i="32"/>
  <c r="BR161" i="32" s="1"/>
  <c r="BR162" i="32" s="1"/>
  <c r="AV160" i="32"/>
  <c r="AV161" i="32" s="1"/>
  <c r="AV162" i="32" s="1"/>
  <c r="DF138" i="32"/>
  <c r="DF127" i="32"/>
  <c r="DF173" i="32" s="1"/>
  <c r="DS129" i="32"/>
  <c r="DS175" i="32" s="1"/>
  <c r="DS140" i="32"/>
  <c r="BJ139" i="32"/>
  <c r="BJ128" i="32"/>
  <c r="BJ174" i="32" s="1"/>
  <c r="BR139" i="32"/>
  <c r="BR128" i="32"/>
  <c r="BR174" i="32" s="1"/>
  <c r="BA136" i="32"/>
  <c r="BA125" i="32"/>
  <c r="BA171" i="32" s="1"/>
  <c r="DO132" i="32"/>
  <c r="DO121" i="32"/>
  <c r="DO167" i="32" s="1"/>
  <c r="CS134" i="32"/>
  <c r="CS123" i="32"/>
  <c r="CS169" i="32" s="1"/>
  <c r="DY124" i="32"/>
  <c r="DY170" i="32" s="1"/>
  <c r="DY135" i="32"/>
  <c r="BL137" i="32"/>
  <c r="BL126" i="32"/>
  <c r="BL172" i="32" s="1"/>
  <c r="CX138" i="32"/>
  <c r="CX127" i="32"/>
  <c r="CX173" i="32" s="1"/>
  <c r="DY139" i="32"/>
  <c r="DY128" i="32"/>
  <c r="DY174" i="32" s="1"/>
  <c r="BP141" i="32"/>
  <c r="BP130" i="32"/>
  <c r="BP176" i="32" s="1"/>
  <c r="BI132" i="32"/>
  <c r="BI121" i="32"/>
  <c r="BI167" i="32" s="1"/>
  <c r="BC133" i="32"/>
  <c r="BC122" i="32"/>
  <c r="BC168" i="32" s="1"/>
  <c r="CD123" i="32"/>
  <c r="CD169" i="32" s="1"/>
  <c r="CD134" i="32"/>
  <c r="DL135" i="32"/>
  <c r="DL124" i="32"/>
  <c r="DL170" i="32" s="1"/>
  <c r="AY137" i="32"/>
  <c r="AY126" i="32"/>
  <c r="AY172" i="32" s="1"/>
  <c r="CC127" i="32"/>
  <c r="CC173" i="32" s="1"/>
  <c r="CC138" i="32"/>
  <c r="DL139" i="32"/>
  <c r="DL128" i="32"/>
  <c r="DL174" i="32" s="1"/>
  <c r="BC130" i="32"/>
  <c r="BC176" i="32" s="1"/>
  <c r="BC141" i="32"/>
  <c r="CI132" i="32"/>
  <c r="CI121" i="32"/>
  <c r="CI167" i="32" s="1"/>
  <c r="DJ133" i="32"/>
  <c r="DJ122" i="32"/>
  <c r="DJ168" i="32" s="1"/>
  <c r="CE136" i="32"/>
  <c r="CE125" i="32"/>
  <c r="CE171" i="32" s="1"/>
  <c r="DF137" i="32"/>
  <c r="DF126" i="32"/>
  <c r="DF172" i="32" s="1"/>
  <c r="BA128" i="32"/>
  <c r="BA174" i="32" s="1"/>
  <c r="BA139" i="32"/>
  <c r="CF140" i="32"/>
  <c r="CF129" i="32"/>
  <c r="CF175" i="32" s="1"/>
  <c r="DP140" i="32"/>
  <c r="DP129" i="32"/>
  <c r="DP175" i="32" s="1"/>
  <c r="BL141" i="32"/>
  <c r="BL130" i="32"/>
  <c r="BL176" i="32" s="1"/>
  <c r="BR132" i="32"/>
  <c r="BR121" i="32"/>
  <c r="BR167" i="32" s="1"/>
  <c r="DI132" i="32"/>
  <c r="DI121" i="32"/>
  <c r="DI167" i="32" s="1"/>
  <c r="DY132" i="32"/>
  <c r="DY121" i="32"/>
  <c r="DY167" i="32" s="1"/>
  <c r="CF133" i="32"/>
  <c r="CF122" i="32"/>
  <c r="CF168" i="32" s="1"/>
  <c r="CV133" i="32"/>
  <c r="CV122" i="32"/>
  <c r="CV168" i="32" s="1"/>
  <c r="D264" i="32"/>
  <c r="D265" i="32"/>
  <c r="DX135" i="32"/>
  <c r="DX124" i="32"/>
  <c r="DX170" i="32" s="1"/>
  <c r="CQ129" i="32"/>
  <c r="CQ175" i="32" s="1"/>
  <c r="CQ140" i="32"/>
  <c r="DK122" i="32"/>
  <c r="DK168" i="32" s="1"/>
  <c r="DK133" i="32"/>
  <c r="DG137" i="32"/>
  <c r="DG126" i="32"/>
  <c r="DG172" i="32" s="1"/>
  <c r="CL141" i="32"/>
  <c r="CL130" i="32"/>
  <c r="CL176" i="32" s="1"/>
  <c r="CF139" i="32"/>
  <c r="CF128" i="32"/>
  <c r="CF174" i="32" s="1"/>
  <c r="CH134" i="32"/>
  <c r="CH123" i="32"/>
  <c r="CH169" i="32" s="1"/>
  <c r="DX136" i="32"/>
  <c r="DX125" i="32"/>
  <c r="DX171" i="32" s="1"/>
  <c r="BK138" i="32"/>
  <c r="BK127" i="32"/>
  <c r="BK173" i="32" s="1"/>
  <c r="CN128" i="32"/>
  <c r="CN174" i="32" s="1"/>
  <c r="CN139" i="32"/>
  <c r="EA129" i="32"/>
  <c r="EA175" i="32" s="1"/>
  <c r="EA140" i="32"/>
  <c r="CP134" i="32"/>
  <c r="CP123" i="32"/>
  <c r="CP169" i="32" s="1"/>
  <c r="DH135" i="32"/>
  <c r="DH124" i="32"/>
  <c r="DH170" i="32" s="1"/>
  <c r="BS138" i="32"/>
  <c r="BS127" i="32"/>
  <c r="BS173" i="32" s="1"/>
  <c r="CV139" i="32"/>
  <c r="CV128" i="32"/>
  <c r="CV174" i="32" s="1"/>
  <c r="DL132" i="32"/>
  <c r="DL121" i="32"/>
  <c r="DL167" i="32" s="1"/>
  <c r="BJ124" i="32"/>
  <c r="BJ170" i="32" s="1"/>
  <c r="BJ135" i="32"/>
  <c r="CF136" i="32"/>
  <c r="CF125" i="32"/>
  <c r="CF171" i="32" s="1"/>
  <c r="DK129" i="32"/>
  <c r="DK175" i="32" s="1"/>
  <c r="DK140" i="32"/>
  <c r="AZ132" i="32"/>
  <c r="AZ121" i="32"/>
  <c r="AZ167" i="32" s="1"/>
  <c r="CM132" i="32"/>
  <c r="CM121" i="32"/>
  <c r="CM167" i="32" s="1"/>
  <c r="DW132" i="32"/>
  <c r="DW121" i="32"/>
  <c r="DW167" i="32" s="1"/>
  <c r="CE133" i="32"/>
  <c r="CE122" i="32"/>
  <c r="CE168" i="32" s="1"/>
  <c r="DN133" i="32"/>
  <c r="DN122" i="32"/>
  <c r="DN168" i="32" s="1"/>
  <c r="DJ134" i="32"/>
  <c r="DJ123" i="32"/>
  <c r="DJ169" i="32" s="1"/>
  <c r="CW124" i="32"/>
  <c r="CW170" i="32" s="1"/>
  <c r="CW135" i="32"/>
  <c r="CQ136" i="32"/>
  <c r="CQ125" i="32"/>
  <c r="CQ171" i="32" s="1"/>
  <c r="EA136" i="32"/>
  <c r="EA125" i="32"/>
  <c r="EA171" i="32" s="1"/>
  <c r="CI137" i="32"/>
  <c r="CI126" i="32"/>
  <c r="CI172" i="32" s="1"/>
  <c r="DR126" i="32"/>
  <c r="DR172" i="32" s="1"/>
  <c r="DR137" i="32"/>
  <c r="BN138" i="32"/>
  <c r="BN127" i="32"/>
  <c r="BN173" i="32" s="1"/>
  <c r="DI138" i="32"/>
  <c r="DI127" i="32"/>
  <c r="DI173" i="32" s="1"/>
  <c r="BE139" i="32"/>
  <c r="BE128" i="32"/>
  <c r="BE174" i="32" s="1"/>
  <c r="CW139" i="32"/>
  <c r="CW128" i="32"/>
  <c r="CW174" i="32" s="1"/>
  <c r="AW140" i="32"/>
  <c r="AW129" i="32"/>
  <c r="AW175" i="32" s="1"/>
  <c r="CJ140" i="32"/>
  <c r="CJ129" i="32"/>
  <c r="CJ175" i="32" s="1"/>
  <c r="EB140" i="32"/>
  <c r="EB129" i="32"/>
  <c r="EB175" i="32" s="1"/>
  <c r="CE141" i="32"/>
  <c r="CE130" i="32"/>
  <c r="CE176" i="32" s="1"/>
  <c r="DN130" i="32"/>
  <c r="DN176" i="32" s="1"/>
  <c r="DN141" i="32"/>
  <c r="BQ121" i="32"/>
  <c r="BQ167" i="32" s="1"/>
  <c r="BQ132" i="32"/>
  <c r="DH121" i="32"/>
  <c r="DH167" i="32" s="1"/>
  <c r="DH132" i="32"/>
  <c r="BK133" i="32"/>
  <c r="BK122" i="32"/>
  <c r="BK168" i="32" s="1"/>
  <c r="CX133" i="32"/>
  <c r="CX122" i="32"/>
  <c r="CX168" i="32" s="1"/>
  <c r="CL123" i="32"/>
  <c r="CL169" i="32" s="1"/>
  <c r="CL134" i="32"/>
  <c r="DU134" i="32"/>
  <c r="DU123" i="32"/>
  <c r="DU169" i="32" s="1"/>
  <c r="CB135" i="32"/>
  <c r="CB124" i="32"/>
  <c r="CB170" i="32" s="1"/>
  <c r="DT135" i="32"/>
  <c r="DT124" i="32"/>
  <c r="DT170" i="32" s="1"/>
  <c r="BM125" i="32"/>
  <c r="BM171" i="32" s="1"/>
  <c r="DL136" i="32"/>
  <c r="DL125" i="32"/>
  <c r="DL171" i="32" s="1"/>
  <c r="BG137" i="32"/>
  <c r="BG126" i="32"/>
  <c r="BG172" i="32" s="1"/>
  <c r="CT137" i="32"/>
  <c r="CT126" i="32"/>
  <c r="CT172" i="32" s="1"/>
  <c r="AY138" i="32"/>
  <c r="AY127" i="32"/>
  <c r="AY173" i="32" s="1"/>
  <c r="CK127" i="32"/>
  <c r="CK173" i="32" s="1"/>
  <c r="CK138" i="32"/>
  <c r="DZ138" i="32"/>
  <c r="DZ127" i="32"/>
  <c r="DZ173" i="32" s="1"/>
  <c r="CB139" i="32"/>
  <c r="CB128" i="32"/>
  <c r="CB174" i="32" s="1"/>
  <c r="DT139" i="32"/>
  <c r="DT128" i="32"/>
  <c r="DT174" i="32" s="1"/>
  <c r="BP140" i="32"/>
  <c r="BP129" i="32"/>
  <c r="BP175" i="32" s="1"/>
  <c r="DG140" i="32"/>
  <c r="DG129" i="32"/>
  <c r="DG175" i="32" s="1"/>
  <c r="BK130" i="32"/>
  <c r="BK176" i="32" s="1"/>
  <c r="BK141" i="32"/>
  <c r="CX130" i="32"/>
  <c r="CX176" i="32" s="1"/>
  <c r="CX141" i="32"/>
  <c r="AV132" i="32"/>
  <c r="AV121" i="32"/>
  <c r="AV167" i="32" s="1"/>
  <c r="CQ132" i="32"/>
  <c r="CQ121" i="32"/>
  <c r="CQ167" i="32" s="1"/>
  <c r="EA132" i="32"/>
  <c r="EA121" i="32"/>
  <c r="EA167" i="32" s="1"/>
  <c r="CI122" i="32"/>
  <c r="CI168" i="32" s="1"/>
  <c r="CI133" i="32"/>
  <c r="DR133" i="32"/>
  <c r="DR122" i="32"/>
  <c r="DR168" i="32" s="1"/>
  <c r="DF123" i="32"/>
  <c r="DF169" i="32" s="1"/>
  <c r="DF134" i="32"/>
  <c r="CS124" i="32"/>
  <c r="CS170" i="32" s="1"/>
  <c r="CS135" i="32"/>
  <c r="AZ136" i="32"/>
  <c r="AZ125" i="32"/>
  <c r="AZ171" i="32" s="1"/>
  <c r="CM136" i="32"/>
  <c r="CM125" i="32"/>
  <c r="CM171" i="32" s="1"/>
  <c r="DW136" i="32"/>
  <c r="DW125" i="32"/>
  <c r="DW171" i="32" s="1"/>
  <c r="CE137" i="32"/>
  <c r="CE126" i="32"/>
  <c r="CE172" i="32" s="1"/>
  <c r="DN137" i="32"/>
  <c r="DN126" i="32"/>
  <c r="DN172" i="32" s="1"/>
  <c r="BR138" i="32"/>
  <c r="BR127" i="32"/>
  <c r="BR173" i="32" s="1"/>
  <c r="DE138" i="32"/>
  <c r="DE127" i="32"/>
  <c r="DE173" i="32" s="1"/>
  <c r="BI139" i="32"/>
  <c r="BI128" i="32"/>
  <c r="BI174" i="32" s="1"/>
  <c r="CS139" i="32"/>
  <c r="CS128" i="32"/>
  <c r="CS174" i="32" s="1"/>
  <c r="BA140" i="32"/>
  <c r="BA129" i="32"/>
  <c r="BA175" i="32" s="1"/>
  <c r="CN129" i="32"/>
  <c r="CN175" i="32" s="1"/>
  <c r="CN140" i="32"/>
  <c r="DX140" i="32"/>
  <c r="DX129" i="32"/>
  <c r="DX175" i="32" s="1"/>
  <c r="CI141" i="32"/>
  <c r="CI130" i="32"/>
  <c r="CI176" i="32" s="1"/>
  <c r="DR130" i="32"/>
  <c r="DR176" i="32" s="1"/>
  <c r="DR141" i="32"/>
  <c r="BF132" i="32"/>
  <c r="BF121" i="32"/>
  <c r="BF167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37" i="32"/>
  <c r="CJ126" i="32"/>
  <c r="CJ172" i="32" s="1"/>
  <c r="DH137" i="32"/>
  <c r="DH126" i="32"/>
  <c r="DH172" i="32" s="1"/>
  <c r="DX137" i="32"/>
  <c r="DX126" i="32"/>
  <c r="DX172" i="32" s="1"/>
  <c r="BD138" i="32"/>
  <c r="BD127" i="32"/>
  <c r="BD173" i="32" s="1"/>
  <c r="CE138" i="32"/>
  <c r="CE127" i="32"/>
  <c r="CE173" i="32" s="1"/>
  <c r="CU138" i="32"/>
  <c r="CU127" i="32"/>
  <c r="CU173" i="32" s="1"/>
  <c r="DO138" i="32"/>
  <c r="DO127" i="32"/>
  <c r="DO173" i="32" s="1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41" i="32"/>
  <c r="AW130" i="32"/>
  <c r="AW176" i="32" s="1"/>
  <c r="BM141" i="32"/>
  <c r="BM130" i="32"/>
  <c r="BM176" i="32" s="1"/>
  <c r="CJ141" i="32"/>
  <c r="CJ130" i="32"/>
  <c r="CJ176" i="32" s="1"/>
  <c r="DH141" i="32"/>
  <c r="DH130" i="32"/>
  <c r="DH176" i="32" s="1"/>
  <c r="DX141" i="32"/>
  <c r="DX130" i="32"/>
  <c r="DX176" i="32" s="1"/>
  <c r="BG132" i="32"/>
  <c r="BG121" i="32"/>
  <c r="BG167" i="32" s="1"/>
  <c r="CD132" i="32"/>
  <c r="CD121" i="32"/>
  <c r="CD167" i="32" s="1"/>
  <c r="CT132" i="32"/>
  <c r="CT121" i="32"/>
  <c r="CT167" i="32" s="1"/>
  <c r="DN132" i="32"/>
  <c r="DN121" i="32"/>
  <c r="DN167" i="32" s="1"/>
  <c r="CK122" i="32"/>
  <c r="CK168" i="32" s="1"/>
  <c r="CK133" i="32"/>
  <c r="DE122" i="32"/>
  <c r="DE168" i="32" s="1"/>
  <c r="DE133" i="32"/>
  <c r="DU122" i="32"/>
  <c r="DU168" i="32" s="1"/>
  <c r="DU133" i="32"/>
  <c r="CB134" i="32"/>
  <c r="CB123" i="32"/>
  <c r="CB169" i="32" s="1"/>
  <c r="CR134" i="32"/>
  <c r="CR123" i="32"/>
  <c r="CR169" i="32" s="1"/>
  <c r="DP134" i="32"/>
  <c r="DP123" i="32"/>
  <c r="DP169" i="32" s="1"/>
  <c r="CM135" i="32"/>
  <c r="CM124" i="32"/>
  <c r="CM170" i="32" s="1"/>
  <c r="DG135" i="32"/>
  <c r="DG124" i="32"/>
  <c r="DG170" i="32" s="1"/>
  <c r="DW135" i="32"/>
  <c r="DW124" i="32"/>
  <c r="DW170" i="32" s="1"/>
  <c r="BG125" i="32"/>
  <c r="BG171" i="32" s="1"/>
  <c r="BG136" i="32"/>
  <c r="CD136" i="32"/>
  <c r="CD125" i="32"/>
  <c r="CD171" i="32" s="1"/>
  <c r="CT125" i="32"/>
  <c r="CT171" i="32" s="1"/>
  <c r="CT136" i="32"/>
  <c r="DN136" i="32"/>
  <c r="DN125" i="32"/>
  <c r="DN171" i="32" s="1"/>
  <c r="AX137" i="32"/>
  <c r="AX126" i="32"/>
  <c r="AX172" i="32" s="1"/>
  <c r="BN126" i="32"/>
  <c r="BN172" i="32" s="1"/>
  <c r="BN137" i="32"/>
  <c r="CK137" i="32"/>
  <c r="CK126" i="32"/>
  <c r="CK172" i="32" s="1"/>
  <c r="DE126" i="32"/>
  <c r="DE172" i="32" s="1"/>
  <c r="DE137" i="32"/>
  <c r="DU137" i="32"/>
  <c r="DU126" i="32"/>
  <c r="DU172" i="32" s="1"/>
  <c r="BE138" i="32"/>
  <c r="BE127" i="32"/>
  <c r="BE173" i="32" s="1"/>
  <c r="CB138" i="32"/>
  <c r="CB127" i="32"/>
  <c r="CB173" i="32" s="1"/>
  <c r="CR138" i="32"/>
  <c r="CR127" i="32"/>
  <c r="CR173" i="32" s="1"/>
  <c r="DP138" i="32"/>
  <c r="DP127" i="32"/>
  <c r="DP173" i="32" s="1"/>
  <c r="AV139" i="32"/>
  <c r="AV128" i="32"/>
  <c r="AV174" i="32" s="1"/>
  <c r="BL139" i="32"/>
  <c r="BL128" i="32"/>
  <c r="BL174" i="32" s="1"/>
  <c r="CM139" i="32"/>
  <c r="CM128" i="32"/>
  <c r="CM174" i="32" s="1"/>
  <c r="DG139" i="32"/>
  <c r="DG128" i="32"/>
  <c r="DG174" i="32" s="1"/>
  <c r="DW139" i="32"/>
  <c r="DW128" i="32"/>
  <c r="DW174" i="32" s="1"/>
  <c r="BG129" i="32"/>
  <c r="BG175" i="32" s="1"/>
  <c r="BG140" i="32"/>
  <c r="CD140" i="32"/>
  <c r="CD129" i="32"/>
  <c r="CD175" i="32" s="1"/>
  <c r="CT140" i="32"/>
  <c r="CT129" i="32"/>
  <c r="CT175" i="32" s="1"/>
  <c r="DN140" i="32"/>
  <c r="DN129" i="32"/>
  <c r="DN175" i="32" s="1"/>
  <c r="AX141" i="32"/>
  <c r="AX130" i="32"/>
  <c r="AX176" i="32" s="1"/>
  <c r="BN141" i="32"/>
  <c r="BN130" i="32"/>
  <c r="BN176" i="32" s="1"/>
  <c r="CK141" i="32"/>
  <c r="CK130" i="32"/>
  <c r="CK176" i="32" s="1"/>
  <c r="DE141" i="32"/>
  <c r="DE130" i="32"/>
  <c r="DE176" i="32" s="1"/>
  <c r="DU141" i="32"/>
  <c r="DU130" i="32"/>
  <c r="DU176" i="32" s="1"/>
  <c r="D266" i="32"/>
  <c r="BC126" i="32"/>
  <c r="BC172" i="32" s="1"/>
  <c r="BC137" i="32"/>
  <c r="DP136" i="32"/>
  <c r="DP125" i="32"/>
  <c r="DP171" i="32" s="1"/>
  <c r="CV136" i="32"/>
  <c r="CV125" i="32"/>
  <c r="CV171" i="32" s="1"/>
  <c r="EA141" i="32"/>
  <c r="EA130" i="32"/>
  <c r="EA176" i="32" s="1"/>
  <c r="CF135" i="32"/>
  <c r="CF124" i="32"/>
  <c r="CF170" i="32" s="1"/>
  <c r="CB132" i="32"/>
  <c r="CB121" i="32"/>
  <c r="CB167" i="32" s="1"/>
  <c r="CI129" i="32"/>
  <c r="CI175" i="32" s="1"/>
  <c r="CI140" i="32"/>
  <c r="CE132" i="32"/>
  <c r="CE121" i="32"/>
  <c r="CE167" i="32" s="1"/>
  <c r="DF133" i="32"/>
  <c r="DF122" i="32"/>
  <c r="DF168" i="32" s="1"/>
  <c r="CO124" i="32"/>
  <c r="CO170" i="32" s="1"/>
  <c r="CO135" i="32"/>
  <c r="DS125" i="32"/>
  <c r="DS171" i="32" s="1"/>
  <c r="DS136" i="32"/>
  <c r="DJ137" i="32"/>
  <c r="DJ126" i="32"/>
  <c r="DJ172" i="32" s="1"/>
  <c r="AW139" i="32"/>
  <c r="AW128" i="32"/>
  <c r="AW174" i="32" s="1"/>
  <c r="DT140" i="32"/>
  <c r="DT129" i="32"/>
  <c r="DT175" i="32" s="1"/>
  <c r="CV132" i="32"/>
  <c r="CV121" i="32"/>
  <c r="CV167" i="32" s="1"/>
  <c r="DW133" i="32"/>
  <c r="DW122" i="32"/>
  <c r="DW168" i="32" s="1"/>
  <c r="CR136" i="32"/>
  <c r="CR125" i="32"/>
  <c r="CR171" i="32" s="1"/>
  <c r="CL137" i="32"/>
  <c r="CL126" i="32"/>
  <c r="CL172" i="32" s="1"/>
  <c r="DR138" i="32"/>
  <c r="DR127" i="32"/>
  <c r="DR173" i="32" s="1"/>
  <c r="CU129" i="32"/>
  <c r="CU175" i="32" s="1"/>
  <c r="CU140" i="32"/>
  <c r="DW141" i="32"/>
  <c r="DW130" i="32"/>
  <c r="DW176" i="32" s="1"/>
  <c r="DS132" i="32"/>
  <c r="DS121" i="32"/>
  <c r="DS167" i="32" s="1"/>
  <c r="DU124" i="32"/>
  <c r="DU170" i="32" s="1"/>
  <c r="DU135" i="32"/>
  <c r="BP137" i="32"/>
  <c r="BP126" i="32"/>
  <c r="BP172" i="32" s="1"/>
  <c r="CT138" i="32"/>
  <c r="CT127" i="32"/>
  <c r="CT173" i="32" s="1"/>
  <c r="CK139" i="32"/>
  <c r="CK128" i="32"/>
  <c r="CK174" i="32" s="1"/>
  <c r="DJ130" i="32"/>
  <c r="DJ176" i="32" s="1"/>
  <c r="DJ141" i="32"/>
  <c r="CH126" i="32"/>
  <c r="CH172" i="32" s="1"/>
  <c r="CH137" i="32"/>
  <c r="BG130" i="32"/>
  <c r="BG176" i="32" s="1"/>
  <c r="BG141" i="32"/>
  <c r="CN136" i="32"/>
  <c r="CN125" i="32"/>
  <c r="CN171" i="32" s="1"/>
  <c r="DT132" i="32"/>
  <c r="DT121" i="32"/>
  <c r="DT167" i="32" s="1"/>
  <c r="CG138" i="32"/>
  <c r="CG127" i="32"/>
  <c r="CG173" i="32" s="1"/>
  <c r="CD133" i="32"/>
  <c r="CD122" i="32"/>
  <c r="CD168" i="32" s="1"/>
  <c r="BM132" i="32"/>
  <c r="BM121" i="32"/>
  <c r="BM167" i="32" s="1"/>
  <c r="CL133" i="32"/>
  <c r="CL122" i="32"/>
  <c r="CL168" i="32" s="1"/>
  <c r="DI134" i="32"/>
  <c r="DI123" i="32"/>
  <c r="DI169" i="32" s="1"/>
  <c r="BK126" i="32"/>
  <c r="BK172" i="32" s="1"/>
  <c r="BK137" i="32"/>
  <c r="CO138" i="32"/>
  <c r="CO127" i="32"/>
  <c r="CO173" i="32" s="1"/>
  <c r="DP139" i="32"/>
  <c r="DP128" i="32"/>
  <c r="DP174" i="32" s="1"/>
  <c r="BO141" i="32"/>
  <c r="BO130" i="32"/>
  <c r="BO176" i="32" s="1"/>
  <c r="CT133" i="32"/>
  <c r="CT122" i="32"/>
  <c r="CT168" i="32" s="1"/>
  <c r="DQ134" i="32"/>
  <c r="DQ123" i="32"/>
  <c r="DQ169" i="32" s="1"/>
  <c r="BS137" i="32"/>
  <c r="BS126" i="32"/>
  <c r="BS172" i="32" s="1"/>
  <c r="CW138" i="32"/>
  <c r="CW127" i="32"/>
  <c r="CW173" i="32" s="1"/>
  <c r="DX128" i="32"/>
  <c r="DX174" i="32" s="1"/>
  <c r="DX139" i="32"/>
  <c r="CN135" i="32"/>
  <c r="CN124" i="32"/>
  <c r="CN170" i="32" s="1"/>
  <c r="DH125" i="32"/>
  <c r="DH171" i="32" s="1"/>
  <c r="DH136" i="32"/>
  <c r="AY141" i="32"/>
  <c r="AY130" i="32"/>
  <c r="AY176" i="32" s="1"/>
  <c r="BH132" i="32"/>
  <c r="BH121" i="32"/>
  <c r="BH167" i="32" s="1"/>
  <c r="CU132" i="32"/>
  <c r="CU121" i="32"/>
  <c r="CU167" i="32" s="1"/>
  <c r="CM133" i="32"/>
  <c r="CM122" i="32"/>
  <c r="CM168" i="32" s="1"/>
  <c r="DV133" i="32"/>
  <c r="DV122" i="32"/>
  <c r="DV168" i="32" s="1"/>
  <c r="CC134" i="32"/>
  <c r="CC123" i="32"/>
  <c r="CC169" i="32" s="1"/>
  <c r="DR134" i="32"/>
  <c r="DR123" i="32"/>
  <c r="DR169" i="32" s="1"/>
  <c r="DI124" i="32"/>
  <c r="DI170" i="32" s="1"/>
  <c r="DI135" i="32"/>
  <c r="BD136" i="32"/>
  <c r="BD125" i="32"/>
  <c r="BD171" i="32" s="1"/>
  <c r="CY125" i="32"/>
  <c r="CY171" i="32" s="1"/>
  <c r="CY136" i="32"/>
  <c r="AV137" i="32"/>
  <c r="AV126" i="32"/>
  <c r="AV172" i="32" s="1"/>
  <c r="CQ137" i="32"/>
  <c r="CQ126" i="32"/>
  <c r="CQ172" i="32" s="1"/>
  <c r="DZ126" i="32"/>
  <c r="DZ172" i="32" s="1"/>
  <c r="DZ137" i="32"/>
  <c r="CH127" i="32"/>
  <c r="CH173" i="32" s="1"/>
  <c r="CH138" i="32"/>
  <c r="DQ138" i="32"/>
  <c r="DQ127" i="32"/>
  <c r="DQ173" i="32" s="1"/>
  <c r="BM139" i="32"/>
  <c r="BM128" i="32"/>
  <c r="BM174" i="32" s="1"/>
  <c r="DI139" i="32"/>
  <c r="DI128" i="32"/>
  <c r="DI174" i="32" s="1"/>
  <c r="BE140" i="32"/>
  <c r="BE129" i="32"/>
  <c r="BE175" i="32" s="1"/>
  <c r="CR140" i="32"/>
  <c r="CR129" i="32"/>
  <c r="CR175" i="32" s="1"/>
  <c r="AZ141" i="32"/>
  <c r="AZ130" i="32"/>
  <c r="AZ176" i="32" s="1"/>
  <c r="CM130" i="32"/>
  <c r="CM176" i="32" s="1"/>
  <c r="CM141" i="32"/>
  <c r="DV141" i="32"/>
  <c r="DV130" i="32"/>
  <c r="DV176" i="32" s="1"/>
  <c r="CF121" i="32"/>
  <c r="CF167" i="32" s="1"/>
  <c r="CF132" i="32"/>
  <c r="DP121" i="32"/>
  <c r="DP167" i="32" s="1"/>
  <c r="DP132" i="32"/>
  <c r="DG133" i="32"/>
  <c r="DG122" i="32"/>
  <c r="DG168" i="32" s="1"/>
  <c r="CT123" i="32"/>
  <c r="CT169" i="32" s="1"/>
  <c r="CT134" i="32"/>
  <c r="CJ135" i="32"/>
  <c r="CJ124" i="32"/>
  <c r="CJ170" i="32" s="1"/>
  <c r="EB135" i="32"/>
  <c r="EB124" i="32"/>
  <c r="EB170" i="32" s="1"/>
  <c r="CB136" i="32"/>
  <c r="CB125" i="32"/>
  <c r="CB171" i="32" s="1"/>
  <c r="DT136" i="32"/>
  <c r="DT125" i="32"/>
  <c r="DT171" i="32" s="1"/>
  <c r="BO137" i="32"/>
  <c r="BO126" i="32"/>
  <c r="BO172" i="32" s="1"/>
  <c r="DK137" i="32"/>
  <c r="DK126" i="32"/>
  <c r="DK172" i="32" s="1"/>
  <c r="BG138" i="32"/>
  <c r="BG127" i="32"/>
  <c r="BG173" i="32" s="1"/>
  <c r="CS127" i="32"/>
  <c r="CS173" i="32" s="1"/>
  <c r="CS138" i="32"/>
  <c r="AX139" i="32"/>
  <c r="AX128" i="32"/>
  <c r="AX174" i="32" s="1"/>
  <c r="CJ139" i="32"/>
  <c r="CJ128" i="32"/>
  <c r="CJ174" i="32" s="1"/>
  <c r="EB139" i="32"/>
  <c r="EB128" i="32"/>
  <c r="EB174" i="32" s="1"/>
  <c r="CE129" i="32"/>
  <c r="CE175" i="32" s="1"/>
  <c r="CE140" i="32"/>
  <c r="DO129" i="32"/>
  <c r="DO175" i="32" s="1"/>
  <c r="DO140" i="32"/>
  <c r="BS130" i="32"/>
  <c r="BS176" i="32" s="1"/>
  <c r="BS141" i="32"/>
  <c r="DG141" i="32"/>
  <c r="DG130" i="32"/>
  <c r="DG176" i="32" s="1"/>
  <c r="CY132" i="32"/>
  <c r="CY121" i="32"/>
  <c r="CY167" i="32" s="1"/>
  <c r="CQ122" i="32"/>
  <c r="CQ168" i="32" s="1"/>
  <c r="CQ133" i="32"/>
  <c r="DZ133" i="32"/>
  <c r="DZ122" i="32"/>
  <c r="DZ168" i="32" s="1"/>
  <c r="CG134" i="32"/>
  <c r="CG123" i="32"/>
  <c r="CG169" i="32" s="1"/>
  <c r="DN123" i="32"/>
  <c r="DN169" i="32" s="1"/>
  <c r="DN134" i="32"/>
  <c r="DE124" i="32"/>
  <c r="DE170" i="32" s="1"/>
  <c r="DE135" i="32"/>
  <c r="BH136" i="32"/>
  <c r="BH125" i="32"/>
  <c r="BH171" i="32" s="1"/>
  <c r="CU136" i="32"/>
  <c r="CU125" i="32"/>
  <c r="CU171" i="32" s="1"/>
  <c r="AZ137" i="32"/>
  <c r="AZ126" i="32"/>
  <c r="AZ172" i="32" s="1"/>
  <c r="CM137" i="32"/>
  <c r="CM126" i="32"/>
  <c r="CM172" i="32" s="1"/>
  <c r="DV137" i="32"/>
  <c r="DV126" i="32"/>
  <c r="DV172" i="32" s="1"/>
  <c r="CD138" i="32"/>
  <c r="CD127" i="32"/>
  <c r="CD173" i="32" s="1"/>
  <c r="DM138" i="32"/>
  <c r="DM127" i="32"/>
  <c r="DM173" i="32" s="1"/>
  <c r="BQ139" i="32"/>
  <c r="BQ128" i="32"/>
  <c r="BQ174" i="32" s="1"/>
  <c r="DE139" i="32"/>
  <c r="DE128" i="32"/>
  <c r="DE174" i="32" s="1"/>
  <c r="BI140" i="32"/>
  <c r="BI129" i="32"/>
  <c r="BI175" i="32" s="1"/>
  <c r="CV140" i="32"/>
  <c r="CV129" i="32"/>
  <c r="CV175" i="32" s="1"/>
  <c r="AV141" i="32"/>
  <c r="AV130" i="32"/>
  <c r="AV176" i="32" s="1"/>
  <c r="CQ141" i="32"/>
  <c r="CQ130" i="32"/>
  <c r="CQ176" i="32" s="1"/>
  <c r="DZ130" i="32"/>
  <c r="DZ176" i="32" s="1"/>
  <c r="DZ141" i="32"/>
  <c r="BJ132" i="32"/>
  <c r="BJ121" i="32"/>
  <c r="BJ167" i="32" s="1"/>
  <c r="CG132" i="32"/>
  <c r="CG121" i="32"/>
  <c r="CG167" i="32" s="1"/>
  <c r="CW132" i="32"/>
  <c r="CW121" i="32"/>
  <c r="CW167" i="32" s="1"/>
  <c r="DQ132" i="32"/>
  <c r="DQ121" i="32"/>
  <c r="DQ167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35" i="32"/>
  <c r="BC124" i="32"/>
  <c r="BC170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37" i="32"/>
  <c r="BA126" i="32"/>
  <c r="BA172" i="32" s="1"/>
  <c r="BQ137" i="32"/>
  <c r="BQ126" i="32"/>
  <c r="BQ172" i="32" s="1"/>
  <c r="CN137" i="32"/>
  <c r="CN126" i="32"/>
  <c r="CN172" i="32" s="1"/>
  <c r="DL137" i="32"/>
  <c r="DL126" i="32"/>
  <c r="DL172" i="32" s="1"/>
  <c r="EB137" i="32"/>
  <c r="EB126" i="32"/>
  <c r="EB172" i="32" s="1"/>
  <c r="BH138" i="32"/>
  <c r="BH127" i="32"/>
  <c r="BH173" i="32" s="1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41" i="32"/>
  <c r="DL130" i="32"/>
  <c r="DL176" i="32" s="1"/>
  <c r="EB141" i="32"/>
  <c r="EB130" i="32"/>
  <c r="EB176" i="32" s="1"/>
  <c r="BK121" i="32"/>
  <c r="BK167" i="32" s="1"/>
  <c r="BK132" i="32"/>
  <c r="CH121" i="32"/>
  <c r="CH167" i="32" s="1"/>
  <c r="CH132" i="32"/>
  <c r="CX121" i="32"/>
  <c r="CX167" i="32" s="1"/>
  <c r="CX132" i="32"/>
  <c r="DR121" i="32"/>
  <c r="DR167" i="32" s="1"/>
  <c r="DR132" i="32"/>
  <c r="CO133" i="32"/>
  <c r="CO122" i="32"/>
  <c r="CO168" i="32" s="1"/>
  <c r="DI133" i="32"/>
  <c r="DI122" i="32"/>
  <c r="DI168" i="32" s="1"/>
  <c r="DY133" i="32"/>
  <c r="DY122" i="32"/>
  <c r="DY168" i="32" s="1"/>
  <c r="CF134" i="32"/>
  <c r="CF123" i="32"/>
  <c r="CF169" i="32" s="1"/>
  <c r="CV134" i="32"/>
  <c r="CV123" i="32"/>
  <c r="CV169" i="32" s="1"/>
  <c r="DT134" i="32"/>
  <c r="DT123" i="32"/>
  <c r="DT169" i="32" s="1"/>
  <c r="CQ135" i="32"/>
  <c r="CQ124" i="32"/>
  <c r="CQ170" i="32" s="1"/>
  <c r="DK135" i="32"/>
  <c r="DK124" i="32"/>
  <c r="DK170" i="32" s="1"/>
  <c r="EA135" i="32"/>
  <c r="EA124" i="32"/>
  <c r="EA170" i="32" s="1"/>
  <c r="BK136" i="32"/>
  <c r="BK125" i="32"/>
  <c r="BK171" i="32" s="1"/>
  <c r="CH136" i="32"/>
  <c r="CH125" i="32"/>
  <c r="CH171" i="32" s="1"/>
  <c r="CX136" i="32"/>
  <c r="CX125" i="32"/>
  <c r="CX171" i="32" s="1"/>
  <c r="DR136" i="32"/>
  <c r="DR125" i="32"/>
  <c r="DR171" i="32" s="1"/>
  <c r="BB137" i="32"/>
  <c r="BB126" i="32"/>
  <c r="BB172" i="32" s="1"/>
  <c r="BR137" i="32"/>
  <c r="BR126" i="32"/>
  <c r="BR172" i="32" s="1"/>
  <c r="CO137" i="32"/>
  <c r="CO126" i="32"/>
  <c r="CO172" i="32" s="1"/>
  <c r="DI137" i="32"/>
  <c r="DI126" i="32"/>
  <c r="DI172" i="32" s="1"/>
  <c r="DY137" i="32"/>
  <c r="DY126" i="32"/>
  <c r="DY172" i="32" s="1"/>
  <c r="BI127" i="32"/>
  <c r="BI173" i="32" s="1"/>
  <c r="BI138" i="32"/>
  <c r="CF138" i="32"/>
  <c r="CF127" i="32"/>
  <c r="CF173" i="32" s="1"/>
  <c r="CV138" i="32"/>
  <c r="CV127" i="32"/>
  <c r="CV173" i="32" s="1"/>
  <c r="DT138" i="32"/>
  <c r="DT127" i="32"/>
  <c r="DT173" i="32" s="1"/>
  <c r="AZ139" i="32"/>
  <c r="AZ128" i="32"/>
  <c r="AZ174" i="32" s="1"/>
  <c r="BP139" i="32"/>
  <c r="BP128" i="32"/>
  <c r="BP174" i="32" s="1"/>
  <c r="CQ139" i="32"/>
  <c r="CQ128" i="32"/>
  <c r="CQ174" i="32" s="1"/>
  <c r="DK139" i="32"/>
  <c r="DK128" i="32"/>
  <c r="DK174" i="32" s="1"/>
  <c r="EA139" i="32"/>
  <c r="EA128" i="32"/>
  <c r="EA174" i="32" s="1"/>
  <c r="BK140" i="32"/>
  <c r="BK129" i="32"/>
  <c r="BK175" i="32" s="1"/>
  <c r="CH140" i="32"/>
  <c r="CH129" i="32"/>
  <c r="CH175" i="32" s="1"/>
  <c r="CX140" i="32"/>
  <c r="CX129" i="32"/>
  <c r="CX175" i="32" s="1"/>
  <c r="DR140" i="32"/>
  <c r="DR129" i="32"/>
  <c r="DR175" i="32" s="1"/>
  <c r="BB141" i="32"/>
  <c r="BB130" i="32"/>
  <c r="BB176" i="32" s="1"/>
  <c r="BR141" i="32"/>
  <c r="BR130" i="32"/>
  <c r="BR176" i="32" s="1"/>
  <c r="CO141" i="32"/>
  <c r="CO130" i="32"/>
  <c r="CO176" i="32" s="1"/>
  <c r="DI141" i="32"/>
  <c r="DI130" i="32"/>
  <c r="DI176" i="32" s="1"/>
  <c r="DY141" i="32"/>
  <c r="DY130" i="32"/>
  <c r="DY176" i="32" s="1"/>
  <c r="DH128" i="32"/>
  <c r="DH174" i="32" s="1"/>
  <c r="DH139" i="32"/>
  <c r="EB132" i="32"/>
  <c r="EB121" i="32"/>
  <c r="EB167" i="32" s="1"/>
  <c r="DO137" i="32"/>
  <c r="DO126" i="32"/>
  <c r="DO172" i="32" s="1"/>
  <c r="CY129" i="32"/>
  <c r="CY175" i="32" s="1"/>
  <c r="CY140" i="32"/>
  <c r="DW126" i="32"/>
  <c r="DW172" i="32" s="1"/>
  <c r="DW137" i="32"/>
  <c r="DY134" i="32"/>
  <c r="DY123" i="32"/>
  <c r="DY169" i="32" s="1"/>
  <c r="DK141" i="32"/>
  <c r="DK130" i="32"/>
  <c r="DK176" i="32" s="1"/>
  <c r="CI125" i="32"/>
  <c r="CI171" i="32" s="1"/>
  <c r="CI136" i="32"/>
  <c r="BF127" i="32"/>
  <c r="BF173" i="32" s="1"/>
  <c r="BF138" i="32"/>
  <c r="CO139" i="32"/>
  <c r="CO128" i="32"/>
  <c r="CO174" i="32" s="1"/>
  <c r="CB140" i="32"/>
  <c r="CB129" i="32"/>
  <c r="CB175" i="32" s="1"/>
  <c r="DF141" i="32"/>
  <c r="DF130" i="32"/>
  <c r="DF176" i="32" s="1"/>
  <c r="CP133" i="32"/>
  <c r="CP122" i="32"/>
  <c r="CP168" i="32" s="1"/>
  <c r="DM134" i="32"/>
  <c r="DM123" i="32"/>
  <c r="DM169" i="32" s="1"/>
  <c r="BE136" i="32"/>
  <c r="BE125" i="32"/>
  <c r="BE171" i="32" s="1"/>
  <c r="EA137" i="32"/>
  <c r="EA126" i="32"/>
  <c r="EA172" i="32" s="1"/>
  <c r="BN139" i="32"/>
  <c r="BN128" i="32"/>
  <c r="BN174" i="32" s="1"/>
  <c r="BH129" i="32"/>
  <c r="BH175" i="32" s="1"/>
  <c r="BH140" i="32"/>
  <c r="CP130" i="32"/>
  <c r="CP176" i="32" s="1"/>
  <c r="CP141" i="32"/>
  <c r="CW134" i="32"/>
  <c r="CW123" i="32"/>
  <c r="CW169" i="32" s="1"/>
  <c r="CK124" i="32"/>
  <c r="CK170" i="32" s="1"/>
  <c r="CK135" i="32"/>
  <c r="DO136" i="32"/>
  <c r="DO125" i="32"/>
  <c r="DO171" i="32" s="1"/>
  <c r="BJ138" i="32"/>
  <c r="BJ127" i="32"/>
  <c r="BJ173" i="32" s="1"/>
  <c r="DU139" i="32"/>
  <c r="DU128" i="32"/>
  <c r="DU174" i="32" s="1"/>
  <c r="CO132" i="32"/>
  <c r="CO121" i="32"/>
  <c r="CO167" i="32" s="1"/>
  <c r="D230" i="32"/>
  <c r="C236" i="32"/>
  <c r="CJ132" i="32"/>
  <c r="CJ121" i="32"/>
  <c r="CJ167" i="32" s="1"/>
  <c r="BC138" i="32"/>
  <c r="BC127" i="32"/>
  <c r="BC173" i="32" s="1"/>
  <c r="DS141" i="32"/>
  <c r="DS130" i="32"/>
  <c r="DS176" i="32" s="1"/>
  <c r="BB139" i="32"/>
  <c r="BB128" i="32"/>
  <c r="BB174" i="32" s="1"/>
  <c r="CV135" i="32"/>
  <c r="CV124" i="32"/>
  <c r="CV170" i="32" s="1"/>
  <c r="BD129" i="32"/>
  <c r="BD175" i="32" s="1"/>
  <c r="BD140" i="32"/>
  <c r="BI136" i="32"/>
  <c r="BI125" i="32"/>
  <c r="BI171" i="32" s="1"/>
  <c r="CR132" i="32"/>
  <c r="CR121" i="32"/>
  <c r="CR167" i="32" s="1"/>
  <c r="DS122" i="32"/>
  <c r="DS168" i="32" s="1"/>
  <c r="DS133" i="32"/>
  <c r="CP126" i="32"/>
  <c r="CP172" i="32" s="1"/>
  <c r="CP137" i="32"/>
  <c r="DN138" i="32"/>
  <c r="DN127" i="32"/>
  <c r="DN173" i="32" s="1"/>
  <c r="BL129" i="32"/>
  <c r="BL175" i="32" s="1"/>
  <c r="BL140" i="32"/>
  <c r="CT130" i="32"/>
  <c r="CT176" i="32" s="1"/>
  <c r="CT141" i="32"/>
  <c r="EA122" i="32"/>
  <c r="EA168" i="32" s="1"/>
  <c r="EA133" i="32"/>
  <c r="BB124" i="32"/>
  <c r="BB170" i="32" s="1"/>
  <c r="BB135" i="32"/>
  <c r="CX126" i="32"/>
  <c r="CX172" i="32" s="1"/>
  <c r="CX137" i="32"/>
  <c r="DV138" i="32"/>
  <c r="DV127" i="32"/>
  <c r="DV173" i="32" s="1"/>
  <c r="AW132" i="32"/>
  <c r="AW121" i="32"/>
  <c r="AW167" i="32" s="1"/>
  <c r="CX134" i="32"/>
  <c r="CX123" i="32"/>
  <c r="CX169" i="32" s="1"/>
  <c r="DP135" i="32"/>
  <c r="DP124" i="32"/>
  <c r="DP170" i="32" s="1"/>
  <c r="AV140" i="32"/>
  <c r="AV129" i="32"/>
  <c r="AV175" i="32" s="1"/>
  <c r="CD130" i="32"/>
  <c r="CD176" i="32" s="1"/>
  <c r="CD141" i="32"/>
  <c r="BP132" i="32"/>
  <c r="BP121" i="32"/>
  <c r="BP167" i="32" s="1"/>
  <c r="DG132" i="32"/>
  <c r="DG121" i="32"/>
  <c r="DG167" i="32" s="1"/>
  <c r="CU133" i="32"/>
  <c r="CU122" i="32"/>
  <c r="CU168" i="32" s="1"/>
  <c r="CK134" i="32"/>
  <c r="CK123" i="32"/>
  <c r="CK169" i="32" s="1"/>
  <c r="DZ134" i="32"/>
  <c r="DZ123" i="32"/>
  <c r="DZ169" i="32" s="1"/>
  <c r="CG124" i="32"/>
  <c r="CG170" i="32" s="1"/>
  <c r="CG135" i="32"/>
  <c r="DQ124" i="32"/>
  <c r="DQ170" i="32" s="1"/>
  <c r="DQ135" i="32"/>
  <c r="DK125" i="32"/>
  <c r="DK171" i="32" s="1"/>
  <c r="DK136" i="32"/>
  <c r="BD137" i="32"/>
  <c r="BD126" i="32"/>
  <c r="BD172" i="32" s="1"/>
  <c r="CY137" i="32"/>
  <c r="CY126" i="32"/>
  <c r="CY172" i="32" s="1"/>
  <c r="AX127" i="32"/>
  <c r="AX173" i="32" s="1"/>
  <c r="AX138" i="32"/>
  <c r="CP138" i="32"/>
  <c r="CP127" i="32"/>
  <c r="CP173" i="32" s="1"/>
  <c r="DY138" i="32"/>
  <c r="DY127" i="32"/>
  <c r="DY173" i="32" s="1"/>
  <c r="CG139" i="32"/>
  <c r="CG128" i="32"/>
  <c r="CG174" i="32" s="1"/>
  <c r="DQ139" i="32"/>
  <c r="DQ128" i="32"/>
  <c r="DQ174" i="32" s="1"/>
  <c r="BM140" i="32"/>
  <c r="BM129" i="32"/>
  <c r="BM175" i="32" s="1"/>
  <c r="DL140" i="32"/>
  <c r="DL129" i="32"/>
  <c r="DL175" i="32" s="1"/>
  <c r="BH141" i="32"/>
  <c r="BH130" i="32"/>
  <c r="BH176" i="32" s="1"/>
  <c r="CU141" i="32"/>
  <c r="CU130" i="32"/>
  <c r="CU176" i="32" s="1"/>
  <c r="BA132" i="32"/>
  <c r="BA121" i="32"/>
  <c r="BA167" i="32" s="1"/>
  <c r="CN132" i="32"/>
  <c r="CN121" i="32"/>
  <c r="CN167" i="32" s="1"/>
  <c r="DX132" i="32"/>
  <c r="DX121" i="32"/>
  <c r="DX167" i="32" s="1"/>
  <c r="CH133" i="32"/>
  <c r="CH122" i="32"/>
  <c r="CH168" i="32" s="1"/>
  <c r="DO133" i="32"/>
  <c r="DO122" i="32"/>
  <c r="DO168" i="32" s="1"/>
  <c r="DE134" i="32"/>
  <c r="DE123" i="32"/>
  <c r="DE169" i="32" s="1"/>
  <c r="BF124" i="32"/>
  <c r="BF170" i="32" s="1"/>
  <c r="BF135" i="32"/>
  <c r="CR135" i="32"/>
  <c r="CR124" i="32"/>
  <c r="CR170" i="32" s="1"/>
  <c r="AW125" i="32"/>
  <c r="AW171" i="32" s="1"/>
  <c r="AW136" i="32"/>
  <c r="CJ136" i="32"/>
  <c r="CJ125" i="32"/>
  <c r="CJ171" i="32" s="1"/>
  <c r="EB136" i="32"/>
  <c r="EB125" i="32"/>
  <c r="EB171" i="32" s="1"/>
  <c r="CD137" i="32"/>
  <c r="CD126" i="32"/>
  <c r="CD172" i="32" s="1"/>
  <c r="DS137" i="32"/>
  <c r="DS126" i="32"/>
  <c r="DS172" i="32" s="1"/>
  <c r="BO138" i="32"/>
  <c r="BO127" i="32"/>
  <c r="BO173" i="32" s="1"/>
  <c r="DJ138" i="32"/>
  <c r="DJ127" i="32"/>
  <c r="DJ173" i="32" s="1"/>
  <c r="BF139" i="32"/>
  <c r="BF128" i="32"/>
  <c r="BF174" i="32" s="1"/>
  <c r="CR139" i="32"/>
  <c r="CR128" i="32"/>
  <c r="CR174" i="32" s="1"/>
  <c r="AZ140" i="32"/>
  <c r="AZ129" i="32"/>
  <c r="AZ175" i="32" s="1"/>
  <c r="CM140" i="32"/>
  <c r="CM129" i="32"/>
  <c r="CM175" i="32" s="1"/>
  <c r="DW140" i="32"/>
  <c r="DW129" i="32"/>
  <c r="DW175" i="32" s="1"/>
  <c r="CH130" i="32"/>
  <c r="CH176" i="32" s="1"/>
  <c r="CH141" i="32"/>
  <c r="DO141" i="32"/>
  <c r="DO130" i="32"/>
  <c r="DO176" i="32" s="1"/>
  <c r="BL132" i="32"/>
  <c r="BL121" i="32"/>
  <c r="BL167" i="32" s="1"/>
  <c r="DK132" i="32"/>
  <c r="DK121" i="32"/>
  <c r="DK167" i="32" s="1"/>
  <c r="BD122" i="32"/>
  <c r="BD168" i="32" s="1"/>
  <c r="BD133" i="32"/>
  <c r="CY122" i="32"/>
  <c r="CY168" i="32" s="1"/>
  <c r="CY133" i="32"/>
  <c r="CO134" i="32"/>
  <c r="CO123" i="32"/>
  <c r="CO169" i="32" s="1"/>
  <c r="DV123" i="32"/>
  <c r="DV169" i="32" s="1"/>
  <c r="DV134" i="32"/>
  <c r="CC124" i="32"/>
  <c r="CC170" i="32" s="1"/>
  <c r="CC135" i="32"/>
  <c r="DM124" i="32"/>
  <c r="DM170" i="32" s="1"/>
  <c r="DM135" i="32"/>
  <c r="BP136" i="32"/>
  <c r="DG136" i="32"/>
  <c r="DG125" i="32"/>
  <c r="DG171" i="32" s="1"/>
  <c r="BH137" i="32"/>
  <c r="BH126" i="32"/>
  <c r="BH172" i="32" s="1"/>
  <c r="CU137" i="32"/>
  <c r="CU126" i="32"/>
  <c r="CU172" i="32" s="1"/>
  <c r="BB138" i="32"/>
  <c r="BB127" i="32"/>
  <c r="BB173" i="32" s="1"/>
  <c r="CL138" i="32"/>
  <c r="CL127" i="32"/>
  <c r="CL173" i="32" s="1"/>
  <c r="DU138" i="32"/>
  <c r="DU127" i="32"/>
  <c r="DU173" i="32" s="1"/>
  <c r="CC139" i="32"/>
  <c r="CC128" i="32"/>
  <c r="CC174" i="32" s="1"/>
  <c r="DM139" i="32"/>
  <c r="DM128" i="32"/>
  <c r="DM174" i="32" s="1"/>
  <c r="BQ140" i="32"/>
  <c r="BQ129" i="32"/>
  <c r="BQ175" i="32" s="1"/>
  <c r="DH129" i="32"/>
  <c r="DH175" i="32" s="1"/>
  <c r="DH140" i="32"/>
  <c r="BD141" i="32"/>
  <c r="BD130" i="32"/>
  <c r="BD176" i="32" s="1"/>
  <c r="CY141" i="32"/>
  <c r="CY130" i="32"/>
  <c r="CY176" i="32" s="1"/>
  <c r="AX132" i="32"/>
  <c r="AX121" i="32"/>
  <c r="AX167" i="32" s="1"/>
  <c r="BN132" i="32"/>
  <c r="BN121" i="32"/>
  <c r="BN167" i="32" s="1"/>
  <c r="CK132" i="32"/>
  <c r="CK121" i="32"/>
  <c r="CK167" i="32" s="1"/>
  <c r="DE132" i="32"/>
  <c r="DE121" i="32"/>
  <c r="DE167" i="32" s="1"/>
  <c r="DU132" i="32"/>
  <c r="DU121" i="32"/>
  <c r="DU167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CD135" i="32"/>
  <c r="CD124" i="32"/>
  <c r="CD170" i="32" s="1"/>
  <c r="CT135" i="32"/>
  <c r="CT124" i="32"/>
  <c r="CT170" i="32" s="1"/>
  <c r="DN135" i="32"/>
  <c r="DN124" i="32"/>
  <c r="DN170" i="32" s="1"/>
  <c r="AX136" i="32"/>
  <c r="AX125" i="32"/>
  <c r="AX171" i="32" s="1"/>
  <c r="BN136" i="32"/>
  <c r="BN125" i="32"/>
  <c r="BN171" i="32" s="1"/>
  <c r="CK136" i="32"/>
  <c r="CK125" i="32"/>
  <c r="CK171" i="32" s="1"/>
  <c r="DE136" i="32"/>
  <c r="DE125" i="32"/>
  <c r="DE171" i="32" s="1"/>
  <c r="DU136" i="32"/>
  <c r="DU125" i="32"/>
  <c r="DU171" i="32" s="1"/>
  <c r="BE137" i="32"/>
  <c r="BE126" i="32"/>
  <c r="BE172" i="32" s="1"/>
  <c r="CB137" i="32"/>
  <c r="CB126" i="32"/>
  <c r="CB172" i="32" s="1"/>
  <c r="CR137" i="32"/>
  <c r="CR126" i="32"/>
  <c r="CR172" i="32" s="1"/>
  <c r="DP137" i="32"/>
  <c r="DP126" i="32"/>
  <c r="DP172" i="32" s="1"/>
  <c r="AV138" i="32"/>
  <c r="AV127" i="32"/>
  <c r="AV173" i="32" s="1"/>
  <c r="BL138" i="32"/>
  <c r="BL127" i="32"/>
  <c r="BL173" i="32" s="1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N139" i="32"/>
  <c r="DN128" i="32"/>
  <c r="DN174" i="32" s="1"/>
  <c r="AX140" i="32"/>
  <c r="AX129" i="32"/>
  <c r="AX175" i="32" s="1"/>
  <c r="BN140" i="32"/>
  <c r="BN129" i="32"/>
  <c r="BN175" i="32" s="1"/>
  <c r="CK140" i="32"/>
  <c r="CK129" i="32"/>
  <c r="CK175" i="32" s="1"/>
  <c r="DE140" i="32"/>
  <c r="DE129" i="32"/>
  <c r="DE175" i="32" s="1"/>
  <c r="DU140" i="32"/>
  <c r="DU129" i="32"/>
  <c r="DU175" i="32" s="1"/>
  <c r="BE141" i="32"/>
  <c r="BE130" i="32"/>
  <c r="BE176" i="32" s="1"/>
  <c r="CB141" i="32"/>
  <c r="CB130" i="32"/>
  <c r="CB176" i="32" s="1"/>
  <c r="CR141" i="32"/>
  <c r="CR130" i="32"/>
  <c r="CR176" i="32" s="1"/>
  <c r="DP141" i="32"/>
  <c r="DP130" i="32"/>
  <c r="DP176" i="32" s="1"/>
  <c r="AY132" i="32"/>
  <c r="AY121" i="32"/>
  <c r="AY167" i="32" s="1"/>
  <c r="BO132" i="32"/>
  <c r="BO121" i="32"/>
  <c r="BO167" i="32" s="1"/>
  <c r="CL132" i="32"/>
  <c r="CL121" i="32"/>
  <c r="CL167" i="32" s="1"/>
  <c r="DF132" i="32"/>
  <c r="DF121" i="32"/>
  <c r="DF167" i="32" s="1"/>
  <c r="DV132" i="32"/>
  <c r="DV121" i="32"/>
  <c r="DV167" i="32" s="1"/>
  <c r="CC122" i="32"/>
  <c r="CC168" i="32" s="1"/>
  <c r="CC133" i="32"/>
  <c r="CS122" i="32"/>
  <c r="CS168" i="32" s="1"/>
  <c r="CS133" i="32"/>
  <c r="DM122" i="32"/>
  <c r="DM168" i="32" s="1"/>
  <c r="DM133" i="32"/>
  <c r="CJ134" i="32"/>
  <c r="CJ123" i="32"/>
  <c r="CJ169" i="32" s="1"/>
  <c r="DH134" i="32"/>
  <c r="DH123" i="32"/>
  <c r="DH169" i="32" s="1"/>
  <c r="DX134" i="32"/>
  <c r="DX123" i="32"/>
  <c r="DX169" i="32" s="1"/>
  <c r="BD135" i="32"/>
  <c r="CE135" i="32"/>
  <c r="CE124" i="32"/>
  <c r="CE170" i="32" s="1"/>
  <c r="CU135" i="32"/>
  <c r="CU124" i="32"/>
  <c r="CU170" i="32" s="1"/>
  <c r="DO135" i="32"/>
  <c r="DO124" i="32"/>
  <c r="DO170" i="32" s="1"/>
  <c r="AY125" i="32"/>
  <c r="AY171" i="32" s="1"/>
  <c r="AY136" i="32"/>
  <c r="BO136" i="32"/>
  <c r="BO125" i="32"/>
  <c r="BO171" i="32" s="1"/>
  <c r="CL125" i="32"/>
  <c r="CL171" i="32" s="1"/>
  <c r="CL136" i="32"/>
  <c r="DF136" i="32"/>
  <c r="DF125" i="32"/>
  <c r="DF171" i="32" s="1"/>
  <c r="DV125" i="32"/>
  <c r="DV171" i="32" s="1"/>
  <c r="DV136" i="32"/>
  <c r="BF137" i="32"/>
  <c r="BF126" i="32"/>
  <c r="BF172" i="32" s="1"/>
  <c r="CC126" i="32"/>
  <c r="CC172" i="32" s="1"/>
  <c r="CC137" i="32"/>
  <c r="CS137" i="32"/>
  <c r="CS126" i="32"/>
  <c r="CS172" i="32" s="1"/>
  <c r="DM126" i="32"/>
  <c r="DM172" i="32" s="1"/>
  <c r="DM137" i="32"/>
  <c r="AW138" i="32"/>
  <c r="AW127" i="32"/>
  <c r="AW173" i="32" s="1"/>
  <c r="BM138" i="32"/>
  <c r="BM127" i="32"/>
  <c r="BM173" i="32" s="1"/>
  <c r="CJ138" i="32"/>
  <c r="CJ127" i="32"/>
  <c r="CJ173" i="32" s="1"/>
  <c r="DH138" i="32"/>
  <c r="DH127" i="32"/>
  <c r="DH173" i="32" s="1"/>
  <c r="DX127" i="32"/>
  <c r="DX173" i="32" s="1"/>
  <c r="DX138" i="32"/>
  <c r="BD139" i="32"/>
  <c r="BD128" i="32"/>
  <c r="BD174" i="32" s="1"/>
  <c r="CE139" i="32"/>
  <c r="CE128" i="32"/>
  <c r="CE174" i="32" s="1"/>
  <c r="CU139" i="32"/>
  <c r="CU128" i="32"/>
  <c r="CU174" i="32" s="1"/>
  <c r="DO139" i="32"/>
  <c r="DO128" i="32"/>
  <c r="DO174" i="32" s="1"/>
  <c r="AY140" i="32"/>
  <c r="AY129" i="32"/>
  <c r="AY175" i="32" s="1"/>
  <c r="BO140" i="32"/>
  <c r="BO129" i="32"/>
  <c r="BO175" i="32" s="1"/>
  <c r="CL140" i="32"/>
  <c r="CL129" i="32"/>
  <c r="CL175" i="32" s="1"/>
  <c r="DF140" i="32"/>
  <c r="DF129" i="32"/>
  <c r="DF175" i="32" s="1"/>
  <c r="DV140" i="32"/>
  <c r="DV129" i="32"/>
  <c r="DV175" i="32" s="1"/>
  <c r="BF141" i="32"/>
  <c r="BF130" i="32"/>
  <c r="BF176" i="32" s="1"/>
  <c r="CC130" i="32"/>
  <c r="CC176" i="32" s="1"/>
  <c r="CC141" i="32"/>
  <c r="CS130" i="32"/>
  <c r="CS176" i="32" s="1"/>
  <c r="CS141" i="32"/>
  <c r="DM130" i="32"/>
  <c r="DM176" i="32" s="1"/>
  <c r="DM141" i="32"/>
  <c r="DT133" i="32"/>
  <c r="DT122" i="32"/>
  <c r="DT168" i="32" s="1"/>
  <c r="CQ134" i="32"/>
  <c r="CQ123" i="32"/>
  <c r="CQ169" i="32" s="1"/>
  <c r="DK134" i="32"/>
  <c r="DK123" i="32"/>
  <c r="DK169" i="32" s="1"/>
  <c r="EA134" i="32"/>
  <c r="EA123" i="32"/>
  <c r="EA169" i="32" s="1"/>
  <c r="BK124" i="32"/>
  <c r="BK170" i="32" s="1"/>
  <c r="CH135" i="32"/>
  <c r="CH124" i="32"/>
  <c r="CH170" i="32" s="1"/>
  <c r="CX135" i="32"/>
  <c r="CX124" i="32"/>
  <c r="CX170" i="32" s="1"/>
  <c r="DR135" i="32"/>
  <c r="DR124" i="32"/>
  <c r="DR170" i="32" s="1"/>
  <c r="BB136" i="32"/>
  <c r="BB125" i="32"/>
  <c r="BB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37" i="32"/>
  <c r="DT126" i="32"/>
  <c r="DT172" i="32" s="1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R139" i="32"/>
  <c r="DR128" i="32"/>
  <c r="DR174" i="32" s="1"/>
  <c r="BB140" i="32"/>
  <c r="BB129" i="32"/>
  <c r="BB175" i="32" s="1"/>
  <c r="BR140" i="32"/>
  <c r="BR129" i="32"/>
  <c r="BR175" i="32" s="1"/>
  <c r="CO140" i="32"/>
  <c r="CO129" i="32"/>
  <c r="CO175" i="32" s="1"/>
  <c r="DI140" i="32"/>
  <c r="DI129" i="32"/>
  <c r="DI175" i="32" s="1"/>
  <c r="DY140" i="32"/>
  <c r="DY129" i="32"/>
  <c r="DY175" i="32" s="1"/>
  <c r="BI141" i="32"/>
  <c r="BI130" i="32"/>
  <c r="BI176" i="32" s="1"/>
  <c r="CF141" i="32"/>
  <c r="CF130" i="32"/>
  <c r="CF176" i="32" s="1"/>
  <c r="CV141" i="32"/>
  <c r="CV130" i="32"/>
  <c r="CV176" i="32" s="1"/>
  <c r="DT141" i="32"/>
  <c r="DT130" i="32"/>
  <c r="DT176" i="32" s="1"/>
  <c r="BS121" i="32"/>
  <c r="BS167" i="32" s="1"/>
  <c r="BS132" i="32"/>
  <c r="CP121" i="32"/>
  <c r="CP167" i="32" s="1"/>
  <c r="CP132" i="32"/>
  <c r="DJ121" i="32"/>
  <c r="DJ167" i="32" s="1"/>
  <c r="DJ132" i="32"/>
  <c r="DZ121" i="32"/>
  <c r="DZ167" i="32" s="1"/>
  <c r="DZ132" i="32"/>
  <c r="BJ133" i="32"/>
  <c r="BJ122" i="32"/>
  <c r="BJ168" i="32" s="1"/>
  <c r="CG133" i="32"/>
  <c r="CG122" i="32"/>
  <c r="CG168" i="32" s="1"/>
  <c r="CW133" i="32"/>
  <c r="CW122" i="32"/>
  <c r="CW168" i="32" s="1"/>
  <c r="DQ133" i="32"/>
  <c r="DQ122" i="32"/>
  <c r="DQ168" i="32" s="1"/>
  <c r="CN134" i="32"/>
  <c r="CN123" i="32"/>
  <c r="CN169" i="32" s="1"/>
  <c r="DL134" i="32"/>
  <c r="DL123" i="32"/>
  <c r="DL169" i="32" s="1"/>
  <c r="EB134" i="32"/>
  <c r="EB123" i="32"/>
  <c r="EB169" i="32" s="1"/>
  <c r="BH135" i="32"/>
  <c r="CI135" i="32"/>
  <c r="CI124" i="32"/>
  <c r="CI170" i="32" s="1"/>
  <c r="CY135" i="32"/>
  <c r="CY124" i="32"/>
  <c r="CY170" i="32" s="1"/>
  <c r="DS135" i="32"/>
  <c r="DS124" i="32"/>
  <c r="DS170" i="32" s="1"/>
  <c r="BC136" i="32"/>
  <c r="BC125" i="32"/>
  <c r="BC171" i="32" s="1"/>
  <c r="CP136" i="32"/>
  <c r="CP125" i="32"/>
  <c r="CP171" i="32" s="1"/>
  <c r="DJ136" i="32"/>
  <c r="DJ125" i="32"/>
  <c r="DJ171" i="32" s="1"/>
  <c r="DZ136" i="32"/>
  <c r="DZ125" i="32"/>
  <c r="DZ171" i="32" s="1"/>
  <c r="BJ137" i="32"/>
  <c r="BJ126" i="32"/>
  <c r="BJ172" i="32" s="1"/>
  <c r="CG137" i="32"/>
  <c r="CG126" i="32"/>
  <c r="CG172" i="32" s="1"/>
  <c r="CW137" i="32"/>
  <c r="CW126" i="32"/>
  <c r="CW172" i="32" s="1"/>
  <c r="DQ137" i="32"/>
  <c r="DQ126" i="32"/>
  <c r="DQ172" i="32" s="1"/>
  <c r="BA138" i="32"/>
  <c r="BA127" i="32"/>
  <c r="BA173" i="32" s="1"/>
  <c r="BQ127" i="32"/>
  <c r="BQ173" i="32" s="1"/>
  <c r="BQ138" i="32"/>
  <c r="CN138" i="32"/>
  <c r="CN127" i="32"/>
  <c r="CN173" i="32" s="1"/>
  <c r="DL138" i="32"/>
  <c r="DL127" i="32"/>
  <c r="DL173" i="32" s="1"/>
  <c r="EB138" i="32"/>
  <c r="EB127" i="32"/>
  <c r="EB173" i="32" s="1"/>
  <c r="BH139" i="32"/>
  <c r="BH128" i="32"/>
  <c r="BH174" i="32" s="1"/>
  <c r="CI128" i="32"/>
  <c r="CI174" i="32" s="1"/>
  <c r="CI139" i="32"/>
  <c r="CY128" i="32"/>
  <c r="CY174" i="32" s="1"/>
  <c r="CY139" i="32"/>
  <c r="DS139" i="32"/>
  <c r="DS128" i="32"/>
  <c r="DS174" i="32" s="1"/>
  <c r="BC140" i="32"/>
  <c r="BC129" i="32"/>
  <c r="BC175" i="32" s="1"/>
  <c r="BS140" i="32"/>
  <c r="BS129" i="32"/>
  <c r="BS175" i="32" s="1"/>
  <c r="CP140" i="32"/>
  <c r="CP129" i="32"/>
  <c r="CP175" i="32" s="1"/>
  <c r="DJ140" i="32"/>
  <c r="DJ129" i="32"/>
  <c r="DJ175" i="32" s="1"/>
  <c r="DZ140" i="32"/>
  <c r="DZ129" i="32"/>
  <c r="DZ175" i="32" s="1"/>
  <c r="BJ141" i="32"/>
  <c r="BJ130" i="32"/>
  <c r="BJ176" i="32" s="1"/>
  <c r="CG141" i="32"/>
  <c r="CG130" i="32"/>
  <c r="CG176" i="32" s="1"/>
  <c r="CW141" i="32"/>
  <c r="CW130" i="32"/>
  <c r="CW176" i="32" s="1"/>
  <c r="DQ141" i="32"/>
  <c r="DQ130" i="32"/>
  <c r="DQ176" i="32" s="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E135" i="32" l="1"/>
  <c r="BH122" i="32"/>
  <c r="BH168" i="32" s="1"/>
  <c r="BL122" i="32"/>
  <c r="BL168" i="32" s="1"/>
  <c r="BL124" i="32"/>
  <c r="BL170" i="32" s="1"/>
  <c r="BI133" i="32"/>
  <c r="BE160" i="32"/>
  <c r="BE161" i="32" s="1"/>
  <c r="BE162" i="32" s="1"/>
  <c r="BH160" i="32"/>
  <c r="BH161" i="32" s="1"/>
  <c r="BH162" i="32" s="1"/>
  <c r="BI124" i="32"/>
  <c r="BI170" i="32" s="1"/>
  <c r="BI178" i="32" s="1"/>
  <c r="BL125" i="32"/>
  <c r="BL171" i="32" s="1"/>
  <c r="BA160" i="32"/>
  <c r="BA161" i="32" s="1"/>
  <c r="BA162" i="32" s="1"/>
  <c r="BN160" i="32"/>
  <c r="BN161" i="32" s="1"/>
  <c r="BN162" i="32" s="1"/>
  <c r="BK160" i="32"/>
  <c r="BK161" i="32" s="1"/>
  <c r="BK162" i="32" s="1"/>
  <c r="BD160" i="32"/>
  <c r="BD161" i="32" s="1"/>
  <c r="BD162" i="32" s="1"/>
  <c r="BN122" i="32"/>
  <c r="BN168" i="32" s="1"/>
  <c r="BI160" i="32"/>
  <c r="BI161" i="32" s="1"/>
  <c r="BI162" i="32" s="1"/>
  <c r="BL160" i="32"/>
  <c r="BL161" i="32" s="1"/>
  <c r="BL162" i="32" s="1"/>
  <c r="BA122" i="32"/>
  <c r="BA168" i="32" s="1"/>
  <c r="BM160" i="32"/>
  <c r="BM161" i="32" s="1"/>
  <c r="BM162" i="32" s="1"/>
  <c r="BM122" i="32"/>
  <c r="BM168" i="32" s="1"/>
  <c r="BB122" i="32"/>
  <c r="BB168" i="32" s="1"/>
  <c r="BN135" i="32"/>
  <c r="BN143" i="32" s="1"/>
  <c r="BG160" i="32"/>
  <c r="BG161" i="32" s="1"/>
  <c r="BG162" i="32" s="1"/>
  <c r="BA124" i="32"/>
  <c r="BA170" i="32" s="1"/>
  <c r="BM124" i="32"/>
  <c r="BM170" i="32" s="1"/>
  <c r="BE122" i="32"/>
  <c r="BE168" i="32" s="1"/>
  <c r="BG122" i="32"/>
  <c r="BG168" i="32" s="1"/>
  <c r="BF133" i="32"/>
  <c r="BF145" i="32" s="1"/>
  <c r="BR123" i="32"/>
  <c r="BR169" i="32" s="1"/>
  <c r="AZ135" i="32"/>
  <c r="AX133" i="32"/>
  <c r="BS123" i="32"/>
  <c r="BS169" i="32" s="1"/>
  <c r="BN123" i="32"/>
  <c r="BN169" i="32" s="1"/>
  <c r="B94" i="30"/>
  <c r="D207" i="32"/>
  <c r="T208" i="32"/>
  <c r="X207" i="32" s="1"/>
  <c r="BM134" i="32"/>
  <c r="BM145" i="32" s="1"/>
  <c r="BC134" i="32"/>
  <c r="BA123" i="32"/>
  <c r="BA169" i="32" s="1"/>
  <c r="BS122" i="32"/>
  <c r="BS168" i="32" s="1"/>
  <c r="BQ124" i="32"/>
  <c r="BQ170" i="32" s="1"/>
  <c r="BR125" i="32"/>
  <c r="BR171" i="32" s="1"/>
  <c r="AW133" i="32"/>
  <c r="AW144" i="32" s="1"/>
  <c r="BE123" i="32"/>
  <c r="BE169" i="32" s="1"/>
  <c r="BB121" i="32"/>
  <c r="BB167" i="32" s="1"/>
  <c r="AV125" i="32"/>
  <c r="AV171" i="32" s="1"/>
  <c r="BQ133" i="32"/>
  <c r="BQ144" i="32" s="1"/>
  <c r="AY124" i="32"/>
  <c r="AY170" i="32" s="1"/>
  <c r="BG123" i="32"/>
  <c r="BG169" i="32" s="1"/>
  <c r="AY133" i="32"/>
  <c r="BO134" i="32"/>
  <c r="BO133" i="32"/>
  <c r="BC132" i="32"/>
  <c r="BQ125" i="32"/>
  <c r="BQ171" i="32" s="1"/>
  <c r="BS136" i="32"/>
  <c r="AX135" i="32"/>
  <c r="BQ123" i="32"/>
  <c r="BQ169" i="32" s="1"/>
  <c r="AV133" i="32"/>
  <c r="BF123" i="32"/>
  <c r="BF169" i="32" s="1"/>
  <c r="BL134" i="32"/>
  <c r="BL145" i="32" s="1"/>
  <c r="BH123" i="32"/>
  <c r="BH169" i="32" s="1"/>
  <c r="BS135" i="32"/>
  <c r="BO135" i="32"/>
  <c r="BK123" i="32"/>
  <c r="BK169" i="32" s="1"/>
  <c r="BB123" i="32"/>
  <c r="BB169" i="32" s="1"/>
  <c r="AV135" i="32"/>
  <c r="BP123" i="32"/>
  <c r="BP169" i="32" s="1"/>
  <c r="AX123" i="32"/>
  <c r="AX169" i="32" s="1"/>
  <c r="BP124" i="32"/>
  <c r="BP170" i="32" s="1"/>
  <c r="BR133" i="32"/>
  <c r="AY134" i="32"/>
  <c r="AW124" i="32"/>
  <c r="AW170" i="32" s="1"/>
  <c r="BI134" i="32"/>
  <c r="BI142" i="32" s="1"/>
  <c r="AW123" i="32"/>
  <c r="AW169" i="32" s="1"/>
  <c r="BE121" i="32"/>
  <c r="BE167" i="32" s="1"/>
  <c r="BR135" i="32"/>
  <c r="AZ133" i="32"/>
  <c r="BD121" i="32"/>
  <c r="BD167" i="32" s="1"/>
  <c r="AV134" i="32"/>
  <c r="BP122" i="32"/>
  <c r="BP168" i="32" s="1"/>
  <c r="BD123" i="32"/>
  <c r="BD169" i="32" s="1"/>
  <c r="BJ123" i="32"/>
  <c r="BJ169" i="32" s="1"/>
  <c r="AZ123" i="32"/>
  <c r="AZ169" i="32" s="1"/>
  <c r="D289" i="32"/>
  <c r="EB178" i="32"/>
  <c r="DQ178" i="32"/>
  <c r="CG178" i="32"/>
  <c r="CU178" i="32"/>
  <c r="DT178" i="32"/>
  <c r="DS178" i="32"/>
  <c r="CV178" i="32"/>
  <c r="DN178" i="32"/>
  <c r="CD178" i="32"/>
  <c r="CS178" i="32"/>
  <c r="CQ178" i="32"/>
  <c r="DW178" i="32"/>
  <c r="DL178" i="32"/>
  <c r="DI178" i="32"/>
  <c r="DO178" i="32"/>
  <c r="DZ178" i="32"/>
  <c r="CP178" i="32"/>
  <c r="BC178" i="32"/>
  <c r="DF178" i="32"/>
  <c r="BO178" i="32"/>
  <c r="DU178" i="32"/>
  <c r="CK178" i="32"/>
  <c r="BL178" i="32"/>
  <c r="CN178" i="32"/>
  <c r="DG178" i="32"/>
  <c r="CJ178" i="32"/>
  <c r="CX178" i="32"/>
  <c r="CF178" i="32"/>
  <c r="O257" i="32"/>
  <c r="DH178" i="32"/>
  <c r="CO178" i="32"/>
  <c r="CW178" i="32"/>
  <c r="CY178" i="32"/>
  <c r="CE178" i="32"/>
  <c r="CB178" i="32"/>
  <c r="CT178" i="32"/>
  <c r="DM178" i="32"/>
  <c r="CC178" i="32"/>
  <c r="EA178" i="32"/>
  <c r="CM178" i="32"/>
  <c r="DY178" i="32"/>
  <c r="CI178" i="32"/>
  <c r="DJ178" i="32"/>
  <c r="DV178" i="32"/>
  <c r="CL178" i="32"/>
  <c r="DE178" i="32"/>
  <c r="DK178" i="32"/>
  <c r="DX178" i="32"/>
  <c r="CR178" i="32"/>
  <c r="DR178" i="32"/>
  <c r="CH178" i="32"/>
  <c r="DP178" i="32"/>
  <c r="BK145" i="32"/>
  <c r="BK143" i="32"/>
  <c r="BK142" i="32"/>
  <c r="BK144" i="32"/>
  <c r="CE145" i="32"/>
  <c r="CE143" i="32"/>
  <c r="CE142" i="32"/>
  <c r="CE144" i="32"/>
  <c r="CB145" i="32"/>
  <c r="CB144" i="32"/>
  <c r="CB143" i="32"/>
  <c r="CB142" i="32"/>
  <c r="DJ145" i="32"/>
  <c r="DJ144" i="32"/>
  <c r="DJ142" i="32"/>
  <c r="DJ143" i="32"/>
  <c r="DF145" i="32"/>
  <c r="DF144" i="32"/>
  <c r="DF142" i="32"/>
  <c r="DF143" i="32"/>
  <c r="DU145" i="32"/>
  <c r="DU142" i="32"/>
  <c r="DU144" i="32"/>
  <c r="DU143" i="32"/>
  <c r="CK145" i="32"/>
  <c r="CK144" i="32"/>
  <c r="CK142" i="32"/>
  <c r="CK143" i="32"/>
  <c r="CN145" i="32"/>
  <c r="CN142" i="32"/>
  <c r="CN144" i="32"/>
  <c r="CN143" i="32"/>
  <c r="DG143" i="32"/>
  <c r="DG142" i="32"/>
  <c r="DG144" i="32"/>
  <c r="DG145" i="32"/>
  <c r="CJ145" i="32"/>
  <c r="CJ142" i="32"/>
  <c r="CJ144" i="32"/>
  <c r="CJ143" i="32"/>
  <c r="EB143" i="32"/>
  <c r="EB142" i="32"/>
  <c r="EB144" i="32"/>
  <c r="EB145" i="32"/>
  <c r="DQ145" i="32"/>
  <c r="DQ142" i="32"/>
  <c r="DQ144" i="32"/>
  <c r="DQ143" i="32"/>
  <c r="CG145" i="32"/>
  <c r="CG144" i="32"/>
  <c r="CG142" i="32"/>
  <c r="CG143" i="32"/>
  <c r="BD145" i="32"/>
  <c r="BD144" i="32"/>
  <c r="BD143" i="32"/>
  <c r="BD142" i="32"/>
  <c r="CU145" i="32"/>
  <c r="CU143" i="32"/>
  <c r="CU142" i="32"/>
  <c r="CU144" i="32"/>
  <c r="DT145" i="32"/>
  <c r="DT143" i="32"/>
  <c r="DT142" i="32"/>
  <c r="DT144" i="32"/>
  <c r="CT145" i="32"/>
  <c r="CT143" i="32"/>
  <c r="CT142" i="32"/>
  <c r="CT144" i="32"/>
  <c r="BG145" i="32"/>
  <c r="BG143" i="32"/>
  <c r="BG142" i="32"/>
  <c r="BG144" i="32"/>
  <c r="DM145" i="32"/>
  <c r="DM144" i="32"/>
  <c r="DM143" i="32"/>
  <c r="DM142" i="32"/>
  <c r="CC145" i="32"/>
  <c r="CC144" i="32"/>
  <c r="CC142" i="32"/>
  <c r="CC143" i="32"/>
  <c r="EA145" i="32"/>
  <c r="EA143" i="32"/>
  <c r="EA142" i="32"/>
  <c r="EA144" i="32"/>
  <c r="CM145" i="32"/>
  <c r="CM143" i="32"/>
  <c r="CM144" i="32"/>
  <c r="CM142" i="32"/>
  <c r="BE145" i="32"/>
  <c r="BE144" i="32"/>
  <c r="BE142" i="32"/>
  <c r="BE143" i="32"/>
  <c r="O256" i="32"/>
  <c r="DI145" i="32"/>
  <c r="DI142" i="32"/>
  <c r="DI143" i="32"/>
  <c r="DI144" i="32"/>
  <c r="BB143" i="32"/>
  <c r="BB142" i="32"/>
  <c r="BB145" i="32"/>
  <c r="BB144" i="32"/>
  <c r="DO145" i="32"/>
  <c r="DO143" i="32"/>
  <c r="DO142" i="32"/>
  <c r="DO144" i="32"/>
  <c r="CF145" i="32"/>
  <c r="CF142" i="32"/>
  <c r="CF144" i="32"/>
  <c r="CF143" i="32"/>
  <c r="DR145" i="32"/>
  <c r="DR144" i="32"/>
  <c r="DR142" i="32"/>
  <c r="DR143" i="32"/>
  <c r="CH145" i="32"/>
  <c r="CH144" i="32"/>
  <c r="CH143" i="32"/>
  <c r="CH142" i="32"/>
  <c r="DP145" i="32"/>
  <c r="DP143" i="32"/>
  <c r="DP142" i="32"/>
  <c r="DP144" i="32"/>
  <c r="DS145" i="32"/>
  <c r="DS144" i="32"/>
  <c r="DS142" i="32"/>
  <c r="DS143" i="32"/>
  <c r="CV145" i="32"/>
  <c r="CV142" i="32"/>
  <c r="CV144" i="32"/>
  <c r="CV143" i="32"/>
  <c r="DH145" i="32"/>
  <c r="DH143" i="32"/>
  <c r="DH144" i="32"/>
  <c r="DH142" i="32"/>
  <c r="CX145" i="32"/>
  <c r="CX144" i="32"/>
  <c r="CX143" i="32"/>
  <c r="CX142" i="32"/>
  <c r="DZ145" i="32"/>
  <c r="DZ144" i="32"/>
  <c r="DZ142" i="32"/>
  <c r="DZ143" i="32"/>
  <c r="CP143" i="32"/>
  <c r="CP142" i="32"/>
  <c r="CP145" i="32"/>
  <c r="CP144" i="32"/>
  <c r="DV145" i="32"/>
  <c r="DV144" i="32"/>
  <c r="DV142" i="32"/>
  <c r="DV143" i="32"/>
  <c r="CL143" i="32"/>
  <c r="CL142" i="32"/>
  <c r="CL144" i="32"/>
  <c r="CL145" i="32"/>
  <c r="DE145" i="32"/>
  <c r="DE142" i="32"/>
  <c r="DE144" i="32"/>
  <c r="DE143" i="32"/>
  <c r="DK143" i="32"/>
  <c r="DK142" i="32"/>
  <c r="DK145" i="32"/>
  <c r="DK144" i="32"/>
  <c r="DX145" i="32"/>
  <c r="DX143" i="32"/>
  <c r="DX144" i="32"/>
  <c r="DX142" i="32"/>
  <c r="BA144" i="32"/>
  <c r="BA142" i="32"/>
  <c r="BA143" i="32"/>
  <c r="BA145" i="32"/>
  <c r="BP145" i="32"/>
  <c r="BP142" i="32"/>
  <c r="BP143" i="32"/>
  <c r="BP144" i="32"/>
  <c r="CR145" i="32"/>
  <c r="CR144" i="32"/>
  <c r="CR143" i="32"/>
  <c r="CR142" i="32"/>
  <c r="CO145" i="32"/>
  <c r="CO144" i="32"/>
  <c r="CO142" i="32"/>
  <c r="CO143" i="32"/>
  <c r="CW145" i="32"/>
  <c r="CW144" i="32"/>
  <c r="CW142" i="32"/>
  <c r="CW143" i="32"/>
  <c r="BJ145" i="32"/>
  <c r="BJ144" i="32"/>
  <c r="BJ142" i="32"/>
  <c r="BJ143" i="32"/>
  <c r="CY145" i="32"/>
  <c r="CY143" i="32"/>
  <c r="CY142" i="32"/>
  <c r="CY144" i="32"/>
  <c r="BH145" i="32"/>
  <c r="BH142" i="32"/>
  <c r="BH144" i="32"/>
  <c r="BH143" i="32"/>
  <c r="DN145" i="32"/>
  <c r="DN144" i="32"/>
  <c r="DN142" i="32"/>
  <c r="DN143" i="32"/>
  <c r="CD145" i="32"/>
  <c r="CD143" i="32"/>
  <c r="CD142" i="32"/>
  <c r="CD144" i="32"/>
  <c r="CS145" i="32"/>
  <c r="CS144" i="32"/>
  <c r="CS142" i="32"/>
  <c r="CS143" i="32"/>
  <c r="CQ145" i="32"/>
  <c r="CQ143" i="32"/>
  <c r="CQ142" i="32"/>
  <c r="CQ144" i="32"/>
  <c r="DW143" i="32"/>
  <c r="DW142" i="32"/>
  <c r="DW144" i="32"/>
  <c r="DW145" i="32"/>
  <c r="DL145" i="32"/>
  <c r="DL143" i="32"/>
  <c r="DL142" i="32"/>
  <c r="DL144" i="32"/>
  <c r="DY145" i="32"/>
  <c r="DY142" i="32"/>
  <c r="DY143" i="32"/>
  <c r="DY144" i="32"/>
  <c r="CI145" i="32"/>
  <c r="CI143" i="32"/>
  <c r="CI142" i="32"/>
  <c r="CI144" i="32"/>
  <c r="BF142" i="32" l="1"/>
  <c r="BF143" i="32"/>
  <c r="BF146" i="32" s="1"/>
  <c r="BF144" i="32"/>
  <c r="BM178" i="32"/>
  <c r="BN145" i="32"/>
  <c r="BN144" i="32"/>
  <c r="BN142" i="32"/>
  <c r="AZ142" i="32"/>
  <c r="AX143" i="32"/>
  <c r="BA178" i="32"/>
  <c r="BR178" i="32"/>
  <c r="BN178" i="32"/>
  <c r="BS178" i="32"/>
  <c r="BM144" i="32"/>
  <c r="BM143" i="32"/>
  <c r="BM142" i="32"/>
  <c r="X208" i="32"/>
  <c r="X209" i="32"/>
  <c r="Z209" i="32" s="1"/>
  <c r="BI145" i="32"/>
  <c r="BC142" i="32"/>
  <c r="BG178" i="32"/>
  <c r="BK178" i="32"/>
  <c r="AY178" i="32"/>
  <c r="AV178" i="32"/>
  <c r="AZ178" i="32"/>
  <c r="BH178" i="32"/>
  <c r="BJ178" i="32"/>
  <c r="AX178" i="32"/>
  <c r="BF178" i="32"/>
  <c r="AW145" i="32"/>
  <c r="AW143" i="32"/>
  <c r="AW142" i="32"/>
  <c r="BB178" i="32"/>
  <c r="BQ143" i="32"/>
  <c r="BQ145" i="32"/>
  <c r="BE178" i="32"/>
  <c r="BQ142" i="32"/>
  <c r="BQ178" i="32"/>
  <c r="BC145" i="32"/>
  <c r="AZ145" i="32"/>
  <c r="BC143" i="32"/>
  <c r="AY145" i="32"/>
  <c r="BC144" i="32"/>
  <c r="BS142" i="32"/>
  <c r="AX144" i="32"/>
  <c r="AX145" i="32"/>
  <c r="BO145" i="32"/>
  <c r="AX142" i="32"/>
  <c r="BS144" i="32"/>
  <c r="BR142" i="32"/>
  <c r="BS143" i="32"/>
  <c r="BS145" i="32"/>
  <c r="AZ144" i="32"/>
  <c r="AZ143" i="32"/>
  <c r="BO143" i="32"/>
  <c r="BL143" i="32"/>
  <c r="BL144" i="32"/>
  <c r="BR145" i="32"/>
  <c r="BL142" i="32"/>
  <c r="AV144" i="32"/>
  <c r="AV145" i="32"/>
  <c r="BR144" i="32"/>
  <c r="BR143" i="32"/>
  <c r="AY142" i="32"/>
  <c r="BO142" i="32"/>
  <c r="BO144" i="32"/>
  <c r="BP178" i="32"/>
  <c r="AW178" i="32"/>
  <c r="AV142" i="32"/>
  <c r="AV143" i="32"/>
  <c r="AY144" i="32"/>
  <c r="AY143" i="32"/>
  <c r="BI144" i="32"/>
  <c r="BI143" i="32"/>
  <c r="BD178" i="32"/>
  <c r="DI146" i="32"/>
  <c r="EA146" i="32"/>
  <c r="DT146" i="32"/>
  <c r="DF146" i="32"/>
  <c r="DJ146" i="32"/>
  <c r="DL146" i="32"/>
  <c r="CI146" i="32"/>
  <c r="CH146" i="32"/>
  <c r="CC146" i="32"/>
  <c r="CT146" i="32"/>
  <c r="CU146" i="32"/>
  <c r="CG146" i="32"/>
  <c r="CK146" i="32"/>
  <c r="CE146" i="32"/>
  <c r="BB146" i="32"/>
  <c r="BE146" i="32"/>
  <c r="BG146" i="32"/>
  <c r="BK146" i="32"/>
  <c r="DW146" i="32"/>
  <c r="BH146" i="32"/>
  <c r="BP146" i="32"/>
  <c r="BA146" i="32"/>
  <c r="DK146" i="32"/>
  <c r="DE146" i="32"/>
  <c r="CL146" i="32"/>
  <c r="CP146" i="32"/>
  <c r="CV146" i="32"/>
  <c r="CQ146" i="32"/>
  <c r="CS146" i="32"/>
  <c r="CD146" i="32"/>
  <c r="DN146" i="32"/>
  <c r="CY146" i="32"/>
  <c r="BJ146" i="32"/>
  <c r="CW146" i="32"/>
  <c r="CO146" i="32"/>
  <c r="DV146" i="32"/>
  <c r="DZ146" i="32"/>
  <c r="DS146" i="32"/>
  <c r="DO146" i="32"/>
  <c r="CM146" i="32"/>
  <c r="DM146" i="32"/>
  <c r="BD146" i="32"/>
  <c r="CB146" i="32"/>
  <c r="DY146" i="32"/>
  <c r="DP146" i="32"/>
  <c r="DR146" i="32"/>
  <c r="DQ146" i="32"/>
  <c r="EB146" i="32"/>
  <c r="CJ146" i="32"/>
  <c r="DG146" i="32"/>
  <c r="CN146" i="32"/>
  <c r="DU146" i="32"/>
  <c r="CR146" i="32"/>
  <c r="DX146" i="32"/>
  <c r="CX146" i="32"/>
  <c r="DH146" i="32"/>
  <c r="CF146" i="32"/>
  <c r="AH19" i="18"/>
  <c r="AK19" i="18" s="1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24" i="18"/>
  <c r="AK24" i="18" s="1"/>
  <c r="AH40" i="18"/>
  <c r="AK40" i="18" s="1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N146" i="32" l="1"/>
  <c r="BP148" i="32"/>
  <c r="BP147" i="32"/>
  <c r="DG148" i="32"/>
  <c r="DG147" i="32"/>
  <c r="BD148" i="32"/>
  <c r="BD147" i="32"/>
  <c r="CW147" i="32"/>
  <c r="CW148" i="32"/>
  <c r="CV148" i="32"/>
  <c r="CV147" i="32"/>
  <c r="BH148" i="32"/>
  <c r="BH147" i="32"/>
  <c r="CG148" i="32"/>
  <c r="CG147" i="32"/>
  <c r="DF148" i="32"/>
  <c r="DF147" i="32"/>
  <c r="CN148" i="32"/>
  <c r="CN147" i="32"/>
  <c r="CF148" i="32"/>
  <c r="CF147" i="32"/>
  <c r="CJ148" i="32"/>
  <c r="CJ147" i="32"/>
  <c r="DM148" i="32"/>
  <c r="DM147" i="32"/>
  <c r="BJ148" i="32"/>
  <c r="BJ147" i="32"/>
  <c r="CP148" i="32"/>
  <c r="CP147" i="32"/>
  <c r="DW148" i="32"/>
  <c r="DW147" i="32"/>
  <c r="CU148" i="32"/>
  <c r="CU147" i="32"/>
  <c r="DT148" i="32"/>
  <c r="DT147" i="32"/>
  <c r="DH148" i="32"/>
  <c r="DH147" i="32"/>
  <c r="EB148" i="32"/>
  <c r="EB147" i="32"/>
  <c r="CM148" i="32"/>
  <c r="CM147" i="32"/>
  <c r="CY148" i="32"/>
  <c r="CY147" i="32"/>
  <c r="CL148" i="32"/>
  <c r="CL147" i="32"/>
  <c r="BK148" i="32"/>
  <c r="BK147" i="32"/>
  <c r="CT148" i="32"/>
  <c r="CT147" i="32"/>
  <c r="EA148" i="32"/>
  <c r="EA147" i="32"/>
  <c r="CB148" i="32"/>
  <c r="CB147" i="32"/>
  <c r="CK148" i="32"/>
  <c r="CK147" i="32"/>
  <c r="DJ148" i="32"/>
  <c r="DJ147" i="32"/>
  <c r="CX148" i="32"/>
  <c r="CX147" i="32"/>
  <c r="DQ148" i="32"/>
  <c r="DQ147" i="32"/>
  <c r="DO148" i="32"/>
  <c r="DO147" i="32"/>
  <c r="DN148" i="32"/>
  <c r="DN147" i="32"/>
  <c r="DE148" i="32"/>
  <c r="DE147" i="32"/>
  <c r="BG148" i="32"/>
  <c r="BG147" i="32"/>
  <c r="CC148" i="32"/>
  <c r="CC147" i="32"/>
  <c r="DI148" i="32"/>
  <c r="DI147" i="32"/>
  <c r="DX148" i="32"/>
  <c r="DX147" i="32"/>
  <c r="DR147" i="32"/>
  <c r="DR148" i="32"/>
  <c r="DS148" i="32"/>
  <c r="DS147" i="32"/>
  <c r="CD148" i="32"/>
  <c r="CD147" i="32"/>
  <c r="BN148" i="32"/>
  <c r="BN147" i="32"/>
  <c r="BE148" i="32"/>
  <c r="BE147" i="32"/>
  <c r="CH148" i="32"/>
  <c r="CH147" i="32"/>
  <c r="CO147" i="32"/>
  <c r="CO148" i="32"/>
  <c r="CR148" i="32"/>
  <c r="CR147" i="32"/>
  <c r="DP148" i="32"/>
  <c r="DP147" i="32"/>
  <c r="DZ147" i="32"/>
  <c r="DZ148" i="32"/>
  <c r="CS148" i="32"/>
  <c r="CS147" i="32"/>
  <c r="DK148" i="32"/>
  <c r="DK147" i="32"/>
  <c r="BB148" i="32"/>
  <c r="BB147" i="32"/>
  <c r="CI148" i="32"/>
  <c r="CI147" i="32"/>
  <c r="CQ148" i="32"/>
  <c r="CQ147" i="32"/>
  <c r="DU148" i="32"/>
  <c r="DU147" i="32"/>
  <c r="DY148" i="32"/>
  <c r="DY147" i="32"/>
  <c r="DV148" i="32"/>
  <c r="DV147" i="32"/>
  <c r="BF148" i="32"/>
  <c r="BF147" i="32"/>
  <c r="BA148" i="32"/>
  <c r="BA147" i="32"/>
  <c r="CE148" i="32"/>
  <c r="CE147" i="32"/>
  <c r="DL148" i="32"/>
  <c r="DL147" i="32"/>
  <c r="BM146" i="32"/>
  <c r="AW146" i="32"/>
  <c r="BQ146" i="32"/>
  <c r="BC146" i="32"/>
  <c r="AX146" i="32"/>
  <c r="BL146" i="32"/>
  <c r="AZ146" i="32"/>
  <c r="BS146" i="32"/>
  <c r="AV146" i="32"/>
  <c r="BR146" i="32"/>
  <c r="AY146" i="32"/>
  <c r="BO146" i="32"/>
  <c r="BI146" i="32"/>
  <c r="BC46" i="24"/>
  <c r="AK46" i="24"/>
  <c r="BG38" i="24"/>
  <c r="AK38" i="24"/>
  <c r="AS45" i="26"/>
  <c r="AK45" i="26"/>
  <c r="AM42" i="18"/>
  <c r="AK42" i="18"/>
  <c r="BS34" i="18"/>
  <c r="AK34" i="18"/>
  <c r="AU50" i="25"/>
  <c r="AK50" i="25"/>
  <c r="AR52" i="26"/>
  <c r="AK52" i="26"/>
  <c r="BQ40" i="26"/>
  <c r="AK40" i="26"/>
  <c r="BI36" i="26"/>
  <c r="AK36" i="26"/>
  <c r="BY37" i="18"/>
  <c r="AK37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M52" i="18"/>
  <c r="AK52" i="18"/>
  <c r="AL48" i="18"/>
  <c r="AK48" i="18"/>
  <c r="BG36" i="18"/>
  <c r="AK36" i="18"/>
  <c r="AZ32" i="18"/>
  <c r="AK32" i="18"/>
  <c r="AV39" i="25"/>
  <c r="AK39" i="25"/>
  <c r="AO42" i="24"/>
  <c r="AK42" i="24"/>
  <c r="BN49" i="26"/>
  <c r="AK49" i="26"/>
  <c r="BC41" i="26"/>
  <c r="AK41" i="26"/>
  <c r="AQ37" i="26"/>
  <c r="AK37" i="26"/>
  <c r="AQ50" i="18"/>
  <c r="AK50" i="18"/>
  <c r="BS38" i="18"/>
  <c r="AK38" i="18"/>
  <c r="AP51" i="26"/>
  <c r="AK51" i="26"/>
  <c r="AP37" i="24"/>
  <c r="AK37" i="24"/>
  <c r="AV48" i="26"/>
  <c r="AK48" i="26"/>
  <c r="AQ44" i="26"/>
  <c r="AK44" i="26"/>
  <c r="BL49" i="18"/>
  <c r="AK49" i="18"/>
  <c r="AS41" i="18"/>
  <c r="AK41" i="18"/>
  <c r="BQ33" i="18"/>
  <c r="AK33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R148" i="32" l="1"/>
  <c r="BR147" i="32"/>
  <c r="AW148" i="32"/>
  <c r="AW147" i="32"/>
  <c r="AV148" i="32"/>
  <c r="AV147" i="32"/>
  <c r="BM148" i="32"/>
  <c r="BM147" i="32"/>
  <c r="BS148" i="32"/>
  <c r="BS147" i="32"/>
  <c r="AZ148" i="32"/>
  <c r="AZ147" i="32"/>
  <c r="BL148" i="32"/>
  <c r="BL147" i="32"/>
  <c r="BI148" i="32"/>
  <c r="BI147" i="32"/>
  <c r="AX148" i="32"/>
  <c r="AX147" i="32"/>
  <c r="BO148" i="32"/>
  <c r="BO147" i="32"/>
  <c r="BC148" i="32"/>
  <c r="BC147" i="32"/>
  <c r="AY148" i="32"/>
  <c r="AY147" i="32"/>
  <c r="BQ147" i="32"/>
  <c r="BQ148" i="32"/>
  <c r="BH163" i="32"/>
  <c r="DI163" i="32"/>
  <c r="DW163" i="32"/>
  <c r="DE163" i="32"/>
  <c r="BK163" i="32"/>
  <c r="CP163" i="32"/>
  <c r="CG163" i="32"/>
  <c r="CK163" i="32"/>
  <c r="CE163" i="32"/>
  <c r="BB163" i="32"/>
  <c r="BP163" i="32"/>
  <c r="BA163" i="32"/>
  <c r="DK163" i="32"/>
  <c r="BG163" i="32"/>
  <c r="CT163" i="32"/>
  <c r="DT163" i="32"/>
  <c r="CU163" i="32"/>
  <c r="CV163" i="32"/>
  <c r="CH163" i="32"/>
  <c r="CL163" i="32"/>
  <c r="BE163" i="32"/>
  <c r="CC163" i="32"/>
  <c r="EA163" i="32"/>
  <c r="DF163" i="32"/>
  <c r="DJ163" i="32"/>
  <c r="DL163" i="32"/>
  <c r="CI163" i="32"/>
  <c r="BN163" i="32"/>
  <c r="DH163" i="32"/>
  <c r="CM163" i="32"/>
  <c r="BJ163" i="32"/>
  <c r="CF163" i="32"/>
  <c r="DQ163" i="32"/>
  <c r="DU163" i="32"/>
  <c r="EB163" i="32"/>
  <c r="CX163" i="32"/>
  <c r="DM163" i="32"/>
  <c r="BD163" i="32"/>
  <c r="CD163" i="32"/>
  <c r="CY163" i="32"/>
  <c r="DO163" i="32"/>
  <c r="CJ163" i="32"/>
  <c r="CR163" i="32"/>
  <c r="CB163" i="32"/>
  <c r="DN163" i="32"/>
  <c r="DZ163" i="32"/>
  <c r="DS163" i="32"/>
  <c r="DY163" i="32"/>
  <c r="CN163" i="32"/>
  <c r="CS163" i="32"/>
  <c r="DV163" i="32"/>
  <c r="DP163" i="32"/>
  <c r="DR163" i="32"/>
  <c r="DX163" i="32"/>
  <c r="CQ163" i="32"/>
  <c r="CW163" i="32"/>
  <c r="DG163" i="32"/>
  <c r="BF163" i="32"/>
  <c r="CO163" i="32"/>
  <c r="Q2" i="7"/>
  <c r="B39" i="18"/>
  <c r="AH47" i="31" s="1"/>
  <c r="AH69" i="31" s="1"/>
  <c r="AW163" i="32" l="1"/>
  <c r="BM163" i="32"/>
  <c r="AZ163" i="32"/>
  <c r="BO163" i="32"/>
  <c r="AV163" i="32"/>
  <c r="AX163" i="32"/>
  <c r="BS163" i="32"/>
  <c r="BQ163" i="32"/>
  <c r="AY163" i="32"/>
  <c r="BI163" i="32"/>
  <c r="BC163" i="32"/>
  <c r="BL163" i="32"/>
  <c r="BR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T71" i="26"/>
  <c r="A71" i="26"/>
  <c r="A70" i="26"/>
  <c r="S69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CJ7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X69" i="26"/>
  <c r="EI53" i="31"/>
  <c r="EI75" i="31" s="1"/>
  <c r="W70" i="26"/>
  <c r="EH54" i="31"/>
  <c r="EH76" i="31" s="1"/>
  <c r="V71" i="26"/>
  <c r="EG55" i="31"/>
  <c r="EG77" i="31" s="1"/>
  <c r="AC7" i="31"/>
  <c r="A123" i="31"/>
  <c r="D123" i="31" s="1"/>
  <c r="J123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AC10" i="31"/>
  <c r="A126" i="31"/>
  <c r="AC15" i="31"/>
  <c r="A131" i="31"/>
  <c r="AC12" i="31"/>
  <c r="A128" i="3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B63" i="24"/>
  <c r="BI47" i="31"/>
  <c r="BI69" i="31" s="1"/>
  <c r="B125" i="29"/>
  <c r="G107" i="32"/>
  <c r="AC6" i="31"/>
  <c r="A122" i="31"/>
  <c r="D122" i="31" s="1"/>
  <c r="AC14" i="31"/>
  <c r="A130" i="3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B126" i="29"/>
  <c r="G108" i="32"/>
  <c r="B172" i="29"/>
  <c r="G122" i="32"/>
  <c r="X67" i="26"/>
  <c r="P70" i="24"/>
  <c r="BW54" i="31"/>
  <c r="BW76" i="31" s="1"/>
  <c r="G112" i="32"/>
  <c r="B130" i="29"/>
  <c r="B168" i="29"/>
  <c r="G118" i="32"/>
  <c r="S66" i="26"/>
  <c r="ED50" i="31"/>
  <c r="ED72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73" i="29"/>
  <c r="G123" i="32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W63" i="24"/>
  <c r="CD47" i="31"/>
  <c r="CD69" i="31" s="1"/>
  <c r="N63" i="26"/>
  <c r="DY47" i="31"/>
  <c r="DY69" i="31" s="1"/>
  <c r="R63" i="24"/>
  <c r="BY47" i="31"/>
  <c r="BY69" i="31" s="1"/>
  <c r="Q64" i="24"/>
  <c r="BX48" i="31"/>
  <c r="BX70" i="31" s="1"/>
  <c r="Q72" i="24"/>
  <c r="BX56" i="31"/>
  <c r="BX78" i="31" s="1"/>
  <c r="B171" i="29"/>
  <c r="G121" i="32"/>
  <c r="AC11" i="31"/>
  <c r="A127" i="31"/>
  <c r="AC8" i="31"/>
  <c r="A124" i="3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3" i="24"/>
  <c r="BV47" i="31"/>
  <c r="BV69" i="31" s="1"/>
  <c r="F63" i="26"/>
  <c r="DQ47" i="31"/>
  <c r="DQ69" i="31" s="1"/>
  <c r="DL79" i="31" s="1"/>
  <c r="V63" i="26"/>
  <c r="EG47" i="31"/>
  <c r="EG69" i="31" s="1"/>
  <c r="U64" i="26"/>
  <c r="EF48" i="31"/>
  <c r="EF70" i="31" s="1"/>
  <c r="T65" i="26"/>
  <c r="EE49" i="31"/>
  <c r="EE71" i="31" s="1"/>
  <c r="A125" i="31"/>
  <c r="AC9" i="31"/>
  <c r="J63" i="24"/>
  <c r="BQ47" i="31"/>
  <c r="BQ69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E13" i="23"/>
  <c r="F50" i="23" s="1"/>
  <c r="A82" i="31"/>
  <c r="AC13" i="31"/>
  <c r="A129" i="31"/>
  <c r="M49" i="24"/>
  <c r="BT48" i="31"/>
  <c r="BT70" i="31" s="1"/>
  <c r="G111" i="32"/>
  <c r="B129" i="29"/>
  <c r="G117" i="32"/>
  <c r="B167" i="29"/>
  <c r="G125" i="32"/>
  <c r="B175" i="29"/>
  <c r="W72" i="26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F112" i="26"/>
  <c r="F138" i="26" s="1"/>
  <c r="F151" i="26" s="1"/>
  <c r="X118" i="26"/>
  <c r="X144" i="26" s="1"/>
  <c r="X157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X114" i="26"/>
  <c r="X140" i="26" s="1"/>
  <c r="X153" i="26" s="1"/>
  <c r="O115" i="26"/>
  <c r="O141" i="26" s="1"/>
  <c r="F116" i="26"/>
  <c r="F142" i="26" s="1"/>
  <c r="F155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P143" i="26"/>
  <c r="P156" i="26" s="1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112" i="26"/>
  <c r="W65" i="26"/>
  <c r="F66" i="26"/>
  <c r="N113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112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2" i="26"/>
  <c r="H155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F110" i="26"/>
  <c r="E113" i="26"/>
  <c r="G157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G114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112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110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110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C217" i="32" s="1"/>
  <c r="D217" i="32" s="1"/>
  <c r="O156" i="26"/>
  <c r="BH79" i="31"/>
  <c r="AH12" i="31"/>
  <c r="AJ12" i="31"/>
  <c r="AF12" i="31"/>
  <c r="AI12" i="31"/>
  <c r="AG12" i="31"/>
  <c r="AH13" i="31"/>
  <c r="AG13" i="31"/>
  <c r="AF13" i="31"/>
  <c r="AI13" i="31"/>
  <c r="AJ13" i="31"/>
  <c r="AH9" i="31"/>
  <c r="AF9" i="31"/>
  <c r="AJ9" i="31"/>
  <c r="AG9" i="31"/>
  <c r="AI9" i="31"/>
  <c r="AH14" i="31"/>
  <c r="AF14" i="31"/>
  <c r="AJ14" i="31"/>
  <c r="AI14" i="31"/>
  <c r="AG14" i="31"/>
  <c r="AH15" i="31"/>
  <c r="AF15" i="31"/>
  <c r="AJ15" i="31"/>
  <c r="AG15" i="31"/>
  <c r="AI15" i="31"/>
  <c r="R73" i="24"/>
  <c r="AF8" i="31"/>
  <c r="AH8" i="31"/>
  <c r="AG8" i="31"/>
  <c r="AI8" i="31"/>
  <c r="AJ8" i="31"/>
  <c r="AF6" i="31"/>
  <c r="AH6" i="31"/>
  <c r="AI6" i="31"/>
  <c r="AG6" i="31"/>
  <c r="AJ6" i="31"/>
  <c r="AF10" i="31"/>
  <c r="AH10" i="31"/>
  <c r="AI10" i="31"/>
  <c r="AG10" i="31"/>
  <c r="AJ10" i="31"/>
  <c r="J73" i="24"/>
  <c r="AH11" i="31"/>
  <c r="AG11" i="31"/>
  <c r="AF11" i="31"/>
  <c r="AI11" i="31"/>
  <c r="AJ11" i="31"/>
  <c r="AH7" i="31"/>
  <c r="AI7" i="31"/>
  <c r="AG7" i="31"/>
  <c r="AJ7" i="31"/>
  <c r="AF7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C20" i="31" l="1"/>
  <c r="AJ16" i="31"/>
  <c r="AC19" i="31"/>
  <c r="AG16" i="31"/>
  <c r="AI16" i="31"/>
  <c r="AH16" i="31"/>
  <c r="AF16" i="31"/>
  <c r="AC18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N14" i="22" l="1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AD14" i="22"/>
  <c r="C34" i="22" s="1"/>
  <c r="CC112" i="31"/>
  <c r="D105" i="31" s="1"/>
  <c r="K105" i="31" s="1"/>
  <c r="J105" i="31" s="1"/>
  <c r="U14" i="22"/>
  <c r="C25" i="22" s="1"/>
  <c r="CC103" i="31"/>
  <c r="D96" i="31" s="1"/>
  <c r="K96" i="31" s="1"/>
  <c r="J96" i="31" s="1"/>
  <c r="S14" i="22"/>
  <c r="C23" i="22" s="1"/>
  <c r="CC101" i="31"/>
  <c r="D94" i="31" s="1"/>
  <c r="K94" i="31" s="1"/>
  <c r="J94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Q14" i="22"/>
  <c r="C21" i="22" s="1"/>
  <c r="CC99" i="31"/>
  <c r="D92" i="31" s="1"/>
  <c r="K92" i="31" s="1"/>
  <c r="J92" i="31" s="1"/>
  <c r="AB14" i="22"/>
  <c r="C32" i="22" s="1"/>
  <c r="CC110" i="31"/>
  <c r="D103" i="31" s="1"/>
  <c r="K103" i="31" s="1"/>
  <c r="J103" i="31" s="1"/>
  <c r="AA14" i="22"/>
  <c r="C31" i="22" s="1"/>
  <c r="CC109" i="31"/>
  <c r="D102" i="31" s="1"/>
  <c r="K102" i="31" s="1"/>
  <c r="J102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AM54" i="18" s="1"/>
  <c r="CC91" i="31" s="1"/>
  <c r="D84" i="31" s="1"/>
  <c r="K84" i="31" s="1"/>
  <c r="B73" i="15"/>
  <c r="AI19" i="18" s="1"/>
  <c r="AP19" i="18" s="1"/>
  <c r="AL19" i="18" l="1"/>
  <c r="AZ19" i="18"/>
  <c r="AZ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V14" i="22" l="1"/>
  <c r="C26" i="22" s="1"/>
  <c r="CC104" i="31"/>
  <c r="D97" i="31" s="1"/>
  <c r="K97" i="31" s="1"/>
  <c r="J97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71" i="23"/>
  <c r="D81" i="23"/>
  <c r="D91" i="23"/>
  <c r="E23" i="23"/>
  <c r="E81" i="23"/>
  <c r="E71" i="23"/>
  <c r="E91" i="23"/>
  <c r="F23" i="23"/>
  <c r="F81" i="23"/>
  <c r="F71" i="23"/>
  <c r="F9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T18" i="31" l="1"/>
  <c r="S18" i="31"/>
  <c r="AE20" i="31"/>
  <c r="C21" i="31" s="1"/>
  <c r="AF20" i="31"/>
  <c r="D21" i="31" s="1"/>
  <c r="C156" i="32" s="1"/>
  <c r="D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J191" i="18"/>
  <c r="I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N178" i="18"/>
  <c r="M178" i="18"/>
  <c r="L178" i="18"/>
  <c r="K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S176" i="18"/>
  <c r="R176" i="18"/>
  <c r="Q176" i="18"/>
  <c r="P176" i="18"/>
  <c r="O176" i="18"/>
  <c r="N176" i="18"/>
  <c r="M176" i="18"/>
  <c r="L176" i="18"/>
  <c r="K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A166" i="18"/>
  <c r="A165" i="18"/>
  <c r="Y164" i="18"/>
  <c r="X164" i="18"/>
  <c r="W164" i="18"/>
  <c r="V164" i="18"/>
  <c r="U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J63" i="18" l="1"/>
  <c r="AP47" i="31"/>
  <c r="AP69" i="31" s="1"/>
  <c r="B71" i="18"/>
  <c r="AH55" i="31"/>
  <c r="AH77" i="31" s="1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B73" i="29"/>
  <c r="AT103" i="32"/>
  <c r="AT114" i="32" s="1"/>
  <c r="AT126" i="32" s="1"/>
  <c r="AT42" i="30"/>
  <c r="AT53" i="30" s="1"/>
  <c r="AT65" i="30" s="1"/>
  <c r="F67" i="18"/>
  <c r="AL51" i="31"/>
  <c r="AL73" i="31" s="1"/>
  <c r="AG61" i="31"/>
  <c r="AG72" i="31" s="1"/>
  <c r="B84" i="29"/>
  <c r="H65" i="18"/>
  <c r="AN49" i="31"/>
  <c r="AN71" i="31" s="1"/>
  <c r="E68" i="18"/>
  <c r="AK52" i="31"/>
  <c r="AK74" i="31" s="1"/>
  <c r="L69" i="18"/>
  <c r="AR53" i="31"/>
  <c r="AR75" i="31" s="1"/>
  <c r="C70" i="18"/>
  <c r="AI54" i="31"/>
  <c r="AI76" i="31" s="1"/>
  <c r="AT104" i="32"/>
  <c r="AT115" i="32" s="1"/>
  <c r="AT127" i="32" s="1"/>
  <c r="AT43" i="30"/>
  <c r="AT54" i="30" s="1"/>
  <c r="AT66" i="30" s="1"/>
  <c r="B74" i="29"/>
  <c r="AT106" i="32"/>
  <c r="AT117" i="32" s="1"/>
  <c r="AT129" i="32" s="1"/>
  <c r="AT45" i="30"/>
  <c r="AT56" i="30" s="1"/>
  <c r="AT68" i="30" s="1"/>
  <c r="B76" i="29"/>
  <c r="AT39" i="30"/>
  <c r="AT50" i="30" s="1"/>
  <c r="AT62" i="30" s="1"/>
  <c r="B70" i="29"/>
  <c r="AT100" i="32"/>
  <c r="AT111" i="32" s="1"/>
  <c r="AT123" i="32" s="1"/>
  <c r="AT107" i="32"/>
  <c r="AT118" i="32" s="1"/>
  <c r="AT130" i="32" s="1"/>
  <c r="B77" i="29"/>
  <c r="AT46" i="30"/>
  <c r="AT57" i="30" s="1"/>
  <c r="AT69" i="30" s="1"/>
  <c r="B88" i="29"/>
  <c r="AG65" i="31"/>
  <c r="AG76" i="31" s="1"/>
  <c r="R63" i="18"/>
  <c r="AX47" i="31"/>
  <c r="AX69" i="31" s="1"/>
  <c r="G66" i="18"/>
  <c r="AM50" i="31"/>
  <c r="AM72" i="31" s="1"/>
  <c r="N67" i="18"/>
  <c r="AT51" i="31"/>
  <c r="AT73" i="31" s="1"/>
  <c r="D69" i="18"/>
  <c r="AJ53" i="31"/>
  <c r="AJ75" i="31" s="1"/>
  <c r="AG64" i="31"/>
  <c r="AG75" i="31" s="1"/>
  <c r="B87" i="29"/>
  <c r="AG58" i="31"/>
  <c r="AG69" i="31" s="1"/>
  <c r="B81" i="29"/>
  <c r="AG66" i="31"/>
  <c r="AG77" i="31" s="1"/>
  <c r="B89" i="29"/>
  <c r="C153" i="32"/>
  <c r="J21" i="31"/>
  <c r="I64" i="18"/>
  <c r="AO48" i="31"/>
  <c r="AO70" i="31" s="1"/>
  <c r="J71" i="18"/>
  <c r="AP55" i="31"/>
  <c r="AP77" i="31" s="1"/>
  <c r="AG62" i="31"/>
  <c r="AG73" i="31" s="1"/>
  <c r="B85" i="29"/>
  <c r="AT99" i="32"/>
  <c r="AT110" i="32" s="1"/>
  <c r="AT122" i="32" s="1"/>
  <c r="AT38" i="30"/>
  <c r="AT49" i="30" s="1"/>
  <c r="AT61" i="30" s="1"/>
  <c r="B6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B72" i="29"/>
  <c r="AT102" i="32"/>
  <c r="AT113" i="32" s="1"/>
  <c r="AT125" i="32" s="1"/>
  <c r="AT41" i="30"/>
  <c r="AT52" i="30" s="1"/>
  <c r="AT64" i="30" s="1"/>
  <c r="AG60" i="31"/>
  <c r="AG71" i="31" s="1"/>
  <c r="B83" i="29"/>
  <c r="C169" i="32"/>
  <c r="D169" i="32" s="1"/>
  <c r="K72" i="23"/>
  <c r="C171" i="32"/>
  <c r="D171" i="32" s="1"/>
  <c r="I72" i="18"/>
  <c r="AO56" i="31"/>
  <c r="AO78" i="31" s="1"/>
  <c r="G72" i="18"/>
  <c r="AM56" i="31"/>
  <c r="AM78" i="31" s="1"/>
  <c r="O72" i="18"/>
  <c r="AU56" i="31"/>
  <c r="AU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72" i="32"/>
  <c r="AT137" i="32"/>
  <c r="AT106" i="30"/>
  <c r="AT71" i="30"/>
  <c r="AT167" i="32"/>
  <c r="AT132" i="32"/>
  <c r="AT109" i="30"/>
  <c r="AT74" i="30"/>
  <c r="AT169" i="32"/>
  <c r="AT134" i="32"/>
  <c r="AT173" i="32"/>
  <c r="AT138" i="32"/>
  <c r="AT170" i="32"/>
  <c r="AT135" i="32"/>
  <c r="AT112" i="30"/>
  <c r="AT77" i="30"/>
  <c r="AT110" i="30"/>
  <c r="AT75" i="30"/>
  <c r="AT108" i="30"/>
  <c r="AT73" i="30"/>
  <c r="AT113" i="30"/>
  <c r="AT78" i="30"/>
  <c r="AT176" i="32"/>
  <c r="AT141" i="32"/>
  <c r="AT171" i="32"/>
  <c r="AT136" i="32"/>
  <c r="AT107" i="30"/>
  <c r="AT72" i="30"/>
  <c r="AT139" i="32"/>
  <c r="AT174" i="32"/>
  <c r="AT168" i="32"/>
  <c r="AT133" i="32"/>
  <c r="C159" i="32"/>
  <c r="D159" i="32" s="1"/>
  <c r="D153" i="32"/>
  <c r="AT114" i="30"/>
  <c r="AT79" i="30"/>
  <c r="AT80" i="30"/>
  <c r="AT115" i="30"/>
  <c r="AT175" i="32"/>
  <c r="AT140" i="32"/>
  <c r="AT76" i="30"/>
  <c r="AT111" i="30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67" i="32" l="1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F31" i="30" l="1"/>
  <c r="M115" i="31"/>
  <c r="C70" i="32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P24" i="18" s="1"/>
  <c r="B80" i="15"/>
  <c r="AI26" i="18" s="1"/>
  <c r="B79" i="15"/>
  <c r="AI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C257" i="32" l="1"/>
  <c r="M12" i="31"/>
  <c r="AH135" i="31"/>
  <c r="AH137" i="31" s="1"/>
  <c r="D11" i="31"/>
  <c r="M15" i="31"/>
  <c r="AH144" i="31"/>
  <c r="AH146" i="31" s="1"/>
  <c r="D16" i="31"/>
  <c r="M16" i="31" s="1"/>
  <c r="C16" i="31"/>
  <c r="L16" i="31" s="1"/>
  <c r="AG144" i="31"/>
  <c r="AG146" i="31" s="1"/>
  <c r="L15" i="31"/>
  <c r="D14" i="31"/>
  <c r="V12" i="31"/>
  <c r="Y84" i="31" s="1"/>
  <c r="B35" i="15"/>
  <c r="C35" i="30"/>
  <c r="F33" i="30"/>
  <c r="B14" i="31"/>
  <c r="T12" i="31"/>
  <c r="K15" i="31"/>
  <c r="J15" i="31"/>
  <c r="AF144" i="31"/>
  <c r="AF146" i="31" s="1"/>
  <c r="B16" i="31"/>
  <c r="D70" i="32"/>
  <c r="D84" i="32" s="1"/>
  <c r="C84" i="32"/>
  <c r="AP54" i="18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C259" i="32" l="1"/>
  <c r="J16" i="31"/>
  <c r="K16" i="31"/>
  <c r="F35" i="30"/>
  <c r="D260" i="32"/>
  <c r="M11" i="31"/>
  <c r="AH132" i="31"/>
  <c r="AH134" i="31" s="1"/>
  <c r="K14" i="31"/>
  <c r="G152" i="32"/>
  <c r="C144" i="32" s="1"/>
  <c r="D144" i="32" s="1"/>
  <c r="AF141" i="31"/>
  <c r="AF143" i="31" s="1"/>
  <c r="Y82" i="31"/>
  <c r="B39" i="30"/>
  <c r="C39" i="30" s="1"/>
  <c r="T125" i="31"/>
  <c r="T6" i="31"/>
  <c r="B13" i="31"/>
  <c r="D13" i="31"/>
  <c r="M14" i="31"/>
  <c r="AH141" i="31"/>
  <c r="AH143" i="31" s="1"/>
  <c r="D257" i="32"/>
  <c r="D35" i="15"/>
  <c r="V125" i="31" s="1"/>
  <c r="C37" i="30"/>
  <c r="F37" i="30" s="1"/>
  <c r="B101" i="30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101" i="30" l="1"/>
  <c r="B120" i="30"/>
  <c r="D120" i="30" s="1"/>
  <c r="D259" i="32"/>
  <c r="D283" i="32" s="1"/>
  <c r="C283" i="32"/>
  <c r="F39" i="30"/>
  <c r="Z103" i="31"/>
  <c r="BK103" i="31" s="1"/>
  <c r="BK108" i="31" s="1"/>
  <c r="Z107" i="31"/>
  <c r="BO107" i="31" s="1"/>
  <c r="BO108" i="31" s="1"/>
  <c r="Z92" i="31"/>
  <c r="BN92" i="31" s="1"/>
  <c r="BN94" i="31" s="1"/>
  <c r="Z106" i="31"/>
  <c r="BN106" i="31" s="1"/>
  <c r="BN108" i="31" s="1"/>
  <c r="Z90" i="31"/>
  <c r="AG90" i="31" s="1"/>
  <c r="AG94" i="31" s="1"/>
  <c r="BY94" i="31" s="1"/>
  <c r="D87" i="31" s="1"/>
  <c r="K87" i="31" s="1"/>
  <c r="J87" i="31" s="1"/>
  <c r="Z104" i="31"/>
  <c r="BL104" i="31" s="1"/>
  <c r="BL108" i="31" s="1"/>
  <c r="Z97" i="31"/>
  <c r="BL97" i="31" s="1"/>
  <c r="BL101" i="31" s="1"/>
  <c r="Z100" i="31"/>
  <c r="BO100" i="31" s="1"/>
  <c r="BO101" i="31" s="1"/>
  <c r="Z93" i="31"/>
  <c r="BO93" i="31" s="1"/>
  <c r="BO94" i="31" s="1"/>
  <c r="Z99" i="31"/>
  <c r="BN99" i="31" s="1"/>
  <c r="BN101" i="31" s="1"/>
  <c r="Z89" i="31"/>
  <c r="AC89" i="31" s="1"/>
  <c r="AC94" i="31" s="1"/>
  <c r="BY90" i="31" s="1"/>
  <c r="D83" i="31" s="1"/>
  <c r="K83" i="31" s="1"/>
  <c r="Z98" i="31"/>
  <c r="BM98" i="31" s="1"/>
  <c r="BM101" i="31" s="1"/>
  <c r="Z91" i="31"/>
  <c r="BM91" i="31" s="1"/>
  <c r="BM94" i="31" s="1"/>
  <c r="Z96" i="31"/>
  <c r="BK96" i="31" s="1"/>
  <c r="BK101" i="31" s="1"/>
  <c r="Z105" i="31"/>
  <c r="BM105" i="31" s="1"/>
  <c r="BM108" i="31" s="1"/>
  <c r="C260" i="32"/>
  <c r="B99" i="30"/>
  <c r="M9" i="31"/>
  <c r="AH126" i="31"/>
  <c r="AH128" i="31" s="1"/>
  <c r="M13" i="31"/>
  <c r="AH138" i="31"/>
  <c r="AH140" i="31" s="1"/>
  <c r="G148" i="32"/>
  <c r="AF129" i="31"/>
  <c r="AF131" i="31" s="1"/>
  <c r="B5" i="31"/>
  <c r="B6" i="31" s="1"/>
  <c r="G151" i="32"/>
  <c r="C143" i="32" s="1"/>
  <c r="D143" i="32" s="1"/>
  <c r="AF138" i="31"/>
  <c r="AF140" i="31" s="1"/>
  <c r="K13" i="31"/>
  <c r="AH129" i="31"/>
  <c r="AH131" i="31" s="1"/>
  <c r="M10" i="31"/>
  <c r="G147" i="32"/>
  <c r="AF126" i="31"/>
  <c r="AF128" i="31" s="1"/>
  <c r="AK54" i="26"/>
  <c r="B42" i="15"/>
  <c r="B12" i="31" s="1"/>
  <c r="B61" i="15"/>
  <c r="B46" i="15"/>
  <c r="B11" i="31" s="1"/>
  <c r="B58" i="15"/>
  <c r="AH147" i="31" l="1"/>
  <c r="V126" i="31" s="1"/>
  <c r="C142" i="32"/>
  <c r="D142" i="32" s="1"/>
  <c r="C261" i="32"/>
  <c r="D261" i="32" s="1"/>
  <c r="D281" i="32" s="1"/>
  <c r="B103" i="30"/>
  <c r="T134" i="31"/>
  <c r="K112" i="31" s="1"/>
  <c r="J6" i="31"/>
  <c r="K6" i="31"/>
  <c r="G155" i="32"/>
  <c r="C145" i="32" s="1"/>
  <c r="D145" i="32" s="1"/>
  <c r="K11" i="31"/>
  <c r="AF132" i="31"/>
  <c r="AF134" i="31" s="1"/>
  <c r="D99" i="30"/>
  <c r="B118" i="30"/>
  <c r="AF135" i="31"/>
  <c r="AF137" i="31" s="1"/>
  <c r="K12" i="31"/>
  <c r="K5" i="31"/>
  <c r="J5" i="31"/>
  <c r="B49" i="15"/>
  <c r="Y47" i="31" s="1"/>
  <c r="AC47" i="31" s="1"/>
  <c r="Y53" i="31" s="1"/>
  <c r="Z36" i="31" s="1"/>
  <c r="AJ39" i="31" l="1"/>
  <c r="AJ40" i="31" s="1"/>
  <c r="AE40" i="31" s="1"/>
  <c r="AC36" i="31"/>
  <c r="AC39" i="31" s="1"/>
  <c r="AD39" i="31" s="1"/>
  <c r="C281" i="32"/>
  <c r="AF147" i="31"/>
  <c r="T126" i="31" s="1"/>
  <c r="D118" i="30"/>
  <c r="J112" i="31"/>
  <c r="D103" i="30"/>
  <c r="B106" i="30"/>
  <c r="D284" i="32"/>
  <c r="T13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E39" i="31" l="1"/>
  <c r="C284" i="32"/>
  <c r="AC38" i="31"/>
  <c r="AD38" i="31" s="1"/>
  <c r="AE38" i="31" s="1"/>
  <c r="AE41" i="31" s="1"/>
  <c r="J45" i="31" s="1"/>
  <c r="Y205" i="32"/>
  <c r="Y207" i="32" s="1"/>
  <c r="Z207" i="32" s="1"/>
  <c r="Y208" i="32" l="1"/>
  <c r="Z208" i="32" s="1"/>
  <c r="Z210" i="32" s="1"/>
  <c r="D209" i="32" s="1"/>
  <c r="D211" i="32" s="1"/>
  <c r="AD41" i="31"/>
  <c r="C209" i="32"/>
  <c r="J33" i="7"/>
  <c r="K33" i="7" s="1"/>
  <c r="M33" i="7"/>
  <c r="C211" i="32" l="1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S21" i="7"/>
  <c r="S20" i="7"/>
  <c r="S15" i="7"/>
  <c r="S14" i="7"/>
  <c r="S12" i="7"/>
  <c r="S10" i="7"/>
  <c r="S7" i="7"/>
  <c r="BG31" i="29" l="1"/>
  <c r="AP3" i="29" s="1"/>
  <c r="U13" i="7"/>
  <c r="S13" i="7"/>
  <c r="U21" i="7"/>
  <c r="T21" i="7"/>
  <c r="U20" i="7"/>
  <c r="T20" i="7"/>
  <c r="U7" i="7"/>
  <c r="T7" i="7"/>
  <c r="U15" i="7"/>
  <c r="T15" i="7"/>
  <c r="U14" i="7"/>
  <c r="T14" i="7"/>
  <c r="U10" i="7"/>
  <c r="T10" i="7"/>
  <c r="U8" i="7"/>
  <c r="T8" i="7"/>
  <c r="U9" i="7"/>
  <c r="T9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S4" i="7"/>
  <c r="K28" i="7"/>
  <c r="L24" i="7"/>
  <c r="L35" i="7"/>
  <c r="L30" i="7"/>
  <c r="L29" i="7"/>
  <c r="L31" i="7"/>
  <c r="L32" i="7"/>
  <c r="S17" i="7"/>
  <c r="L25" i="7"/>
  <c r="L27" i="7"/>
  <c r="L34" i="7"/>
  <c r="S18" i="7"/>
  <c r="L22" i="7"/>
  <c r="L26" i="7"/>
  <c r="L37" i="7"/>
  <c r="K2" i="7"/>
  <c r="K64" i="7" s="1"/>
  <c r="S16" i="7"/>
  <c r="S19" i="7"/>
  <c r="U31" i="7" l="1"/>
  <c r="S31" i="7"/>
  <c r="U56" i="7"/>
  <c r="S56" i="7"/>
  <c r="U34" i="7"/>
  <c r="S34" i="7"/>
  <c r="U60" i="7"/>
  <c r="S60" i="7"/>
  <c r="U27" i="7"/>
  <c r="S27" i="7"/>
  <c r="U30" i="7"/>
  <c r="S30" i="7"/>
  <c r="U36" i="7"/>
  <c r="S36" i="7"/>
  <c r="U43" i="7"/>
  <c r="S43" i="7"/>
  <c r="U63" i="7"/>
  <c r="S63" i="7"/>
  <c r="U61" i="7"/>
  <c r="S61" i="7"/>
  <c r="U44" i="7"/>
  <c r="S44" i="7"/>
  <c r="U29" i="7"/>
  <c r="S29" i="7"/>
  <c r="U35" i="7"/>
  <c r="S35" i="7"/>
  <c r="U33" i="7"/>
  <c r="S33" i="7"/>
  <c r="U59" i="7"/>
  <c r="S59" i="7"/>
  <c r="U52" i="7"/>
  <c r="S52" i="7"/>
  <c r="U45" i="7"/>
  <c r="S45" i="7"/>
  <c r="U40" i="7"/>
  <c r="S40" i="7"/>
  <c r="U41" i="7"/>
  <c r="S41" i="7"/>
  <c r="U37" i="7"/>
  <c r="S37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48" i="7"/>
  <c r="S48" i="7"/>
  <c r="U47" i="7"/>
  <c r="S47" i="7"/>
  <c r="U26" i="7"/>
  <c r="S26" i="7"/>
  <c r="U22" i="7"/>
  <c r="S22" i="7"/>
  <c r="U32" i="7"/>
  <c r="S32" i="7"/>
  <c r="U23" i="7"/>
  <c r="S23" i="7"/>
  <c r="U38" i="7"/>
  <c r="S38" i="7"/>
  <c r="U42" i="7"/>
  <c r="S42" i="7"/>
  <c r="U46" i="7"/>
  <c r="S46" i="7"/>
  <c r="U55" i="7"/>
  <c r="S55" i="7"/>
  <c r="U5" i="7"/>
  <c r="S5" i="7"/>
  <c r="U6" i="7"/>
  <c r="S6" i="7"/>
  <c r="U3" i="7"/>
  <c r="S3" i="7"/>
  <c r="U16" i="7"/>
  <c r="T16" i="7"/>
  <c r="U4" i="7"/>
  <c r="T4" i="7"/>
  <c r="U19" i="7"/>
  <c r="T19" i="7"/>
  <c r="U18" i="7"/>
  <c r="T18" i="7"/>
  <c r="U17" i="7"/>
  <c r="T17" i="7"/>
  <c r="U11" i="7"/>
  <c r="T11" i="7"/>
  <c r="U12" i="7"/>
  <c r="T12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B3" i="29" s="1"/>
  <c r="BH3" i="29" s="1"/>
  <c r="BI31" i="29" l="1"/>
  <c r="AP5" i="29" s="1"/>
  <c r="BH31" i="29"/>
  <c r="U28" i="7"/>
  <c r="S28" i="7"/>
  <c r="T2" i="7"/>
  <c r="BC3" i="29" s="1"/>
  <c r="Q64" i="7"/>
  <c r="R64" i="7"/>
  <c r="Z18" i="7" s="1"/>
  <c r="S64" i="7"/>
  <c r="Z17" i="7" s="1"/>
  <c r="T64" i="7"/>
  <c r="U2" i="7"/>
  <c r="U64" i="7" s="1"/>
  <c r="L64" i="7"/>
  <c r="R28" i="7"/>
  <c r="Q28" i="7"/>
  <c r="AP6" i="29" l="1"/>
  <c r="AP4" i="29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K26" i="29" l="1"/>
  <c r="C184" i="32" s="1"/>
  <c r="D184" i="32" s="1"/>
  <c r="D183" i="32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202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8" i="18" s="1"/>
  <c r="AA9" i="22" s="1"/>
  <c r="H113" i="18"/>
  <c r="H139" i="18" s="1"/>
  <c r="H152" i="18" s="1"/>
  <c r="H178" i="18" s="1"/>
  <c r="K110" i="18"/>
  <c r="S117" i="18"/>
  <c r="S143" i="18" s="1"/>
  <c r="S156" i="18" s="1"/>
  <c r="S169" i="18" s="1"/>
  <c r="E115" i="18"/>
  <c r="E141" i="18" s="1"/>
  <c r="E154" i="18" s="1"/>
  <c r="E218" i="18" s="1"/>
  <c r="J9" i="22" s="1"/>
  <c r="P112" i="18"/>
  <c r="P138" i="18" s="1"/>
  <c r="P151" i="18" s="1"/>
  <c r="P164" i="18" s="1"/>
  <c r="X119" i="18"/>
  <c r="X145" i="18" s="1"/>
  <c r="X158" i="18" s="1"/>
  <c r="X171" i="18" s="1"/>
  <c r="B117" i="18"/>
  <c r="M114" i="18"/>
  <c r="M140" i="18" s="1"/>
  <c r="M153" i="18" s="1"/>
  <c r="M192" i="18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8" i="18" s="1"/>
  <c r="N9" i="22" s="1"/>
  <c r="L112" i="18"/>
  <c r="L138" i="18" s="1"/>
  <c r="L151" i="18" s="1"/>
  <c r="L164" i="18" s="1"/>
  <c r="G116" i="18"/>
  <c r="G142" i="18" s="1"/>
  <c r="G155" i="18" s="1"/>
  <c r="G168" i="18" s="1"/>
  <c r="K112" i="18"/>
  <c r="K138" i="18" s="1"/>
  <c r="K151" i="18" s="1"/>
  <c r="K164" i="18" s="1"/>
  <c r="M112" i="18"/>
  <c r="M138" i="18" s="1"/>
  <c r="M151" i="18" s="1"/>
  <c r="M164" i="18" s="1"/>
  <c r="J114" i="18"/>
  <c r="J140" i="18" s="1"/>
  <c r="J153" i="18" s="1"/>
  <c r="J192" i="18" s="1"/>
  <c r="J198" i="18" s="1"/>
  <c r="J217" i="18" s="1"/>
  <c r="O7" i="22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64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S164" i="18" s="1"/>
  <c r="D119" i="18"/>
  <c r="D145" i="18" s="1"/>
  <c r="D158" i="18" s="1"/>
  <c r="D171" i="18" s="1"/>
  <c r="J113" i="18"/>
  <c r="J139" i="18" s="1"/>
  <c r="J152" i="18" s="1"/>
  <c r="J178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T110" i="18"/>
  <c r="T136" i="18" s="1"/>
  <c r="T149" i="18" s="1"/>
  <c r="T175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D185" i="18" s="1"/>
  <c r="D216" i="18" s="1"/>
  <c r="I6" i="22" s="1"/>
  <c r="AU16" i="23" s="1"/>
  <c r="AU31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8" i="18" s="1"/>
  <c r="K9" i="22" s="1"/>
  <c r="Q112" i="18"/>
  <c r="Q138" i="18" s="1"/>
  <c r="Q151" i="18" s="1"/>
  <c r="Q164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1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8" i="18" s="1"/>
  <c r="H9" i="22" s="1"/>
  <c r="N112" i="18"/>
  <c r="N138" i="18" s="1"/>
  <c r="N151" i="18" s="1"/>
  <c r="N164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204" i="18" s="1"/>
  <c r="E111" i="18"/>
  <c r="E137" i="18" s="1"/>
  <c r="E150" i="18" s="1"/>
  <c r="E163" i="18" s="1"/>
  <c r="B113" i="18"/>
  <c r="R113" i="18"/>
  <c r="R139" i="18" s="1"/>
  <c r="R152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64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202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J111" i="18"/>
  <c r="J137" i="18" s="1"/>
  <c r="J150" i="18" s="1"/>
  <c r="J176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F112" i="18"/>
  <c r="F138" i="18" s="1"/>
  <c r="F151" i="18" s="1"/>
  <c r="F177" i="18" s="1"/>
  <c r="F185" i="18" s="1"/>
  <c r="F216" i="18" s="1"/>
  <c r="K6" i="22" s="1"/>
  <c r="AW16" i="23" s="1"/>
  <c r="AW31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202" i="18" s="1"/>
  <c r="S211" i="18" s="1"/>
  <c r="M116" i="18"/>
  <c r="M142" i="18" s="1"/>
  <c r="M155" i="18" s="1"/>
  <c r="B111" i="18"/>
  <c r="U115" i="18"/>
  <c r="U141" i="18" s="1"/>
  <c r="U154" i="18" s="1"/>
  <c r="U218" i="18" s="1"/>
  <c r="Z9" i="22" s="1"/>
  <c r="J110" i="18"/>
  <c r="D115" i="18"/>
  <c r="D141" i="18" s="1"/>
  <c r="D154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8" i="18" s="1"/>
  <c r="AD9" i="22" s="1"/>
  <c r="N110" i="18"/>
  <c r="X115" i="18"/>
  <c r="X141" i="18" s="1"/>
  <c r="X154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D192" i="32" l="1"/>
  <c r="D235" i="32" s="1"/>
  <c r="D236" i="32" s="1"/>
  <c r="AK225" i="32"/>
  <c r="AO225" i="32" s="1"/>
  <c r="AO228" i="32" s="1"/>
  <c r="AR228" i="32" s="1"/>
  <c r="AS228" i="32" s="1"/>
  <c r="AT228" i="32" s="1"/>
  <c r="AW228" i="32" s="1"/>
  <c r="D240" i="32" s="1"/>
  <c r="AJ216" i="32"/>
  <c r="AN216" i="32" s="1"/>
  <c r="D220" i="32" s="1"/>
  <c r="M191" i="18"/>
  <c r="M204" i="18"/>
  <c r="M211" i="18" s="1"/>
  <c r="N191" i="18"/>
  <c r="N198" i="18" s="1"/>
  <c r="N217" i="18" s="1"/>
  <c r="S7" i="22" s="1"/>
  <c r="BE17" i="23" s="1"/>
  <c r="BE36" i="23" s="1"/>
  <c r="N204" i="18"/>
  <c r="N211" i="18" s="1"/>
  <c r="R178" i="18"/>
  <c r="R204" i="18"/>
  <c r="R211" i="18" s="1"/>
  <c r="K191" i="18"/>
  <c r="K198" i="18" s="1"/>
  <c r="K217" i="18" s="1"/>
  <c r="P7" i="22" s="1"/>
  <c r="BB17" i="23" s="1"/>
  <c r="BB35" i="23" s="1"/>
  <c r="K204" i="18"/>
  <c r="K211" i="18" s="1"/>
  <c r="L191" i="18"/>
  <c r="L204" i="18"/>
  <c r="L211" i="18" s="1"/>
  <c r="P178" i="18"/>
  <c r="P204" i="18"/>
  <c r="P211" i="18" s="1"/>
  <c r="Q178" i="18"/>
  <c r="Q204" i="18"/>
  <c r="Q211" i="18" s="1"/>
  <c r="O178" i="18"/>
  <c r="O204" i="18"/>
  <c r="O211" i="18" s="1"/>
  <c r="Y192" i="18"/>
  <c r="Y198" i="18" s="1"/>
  <c r="Y217" i="18" s="1"/>
  <c r="AD7" i="22" s="1"/>
  <c r="BP17" i="23" s="1"/>
  <c r="BP38" i="23" s="1"/>
  <c r="Y166" i="18"/>
  <c r="Y172" i="18" s="1"/>
  <c r="Y215" i="18" s="1"/>
  <c r="AD5" i="22" s="1"/>
  <c r="BP15" i="23" s="1"/>
  <c r="BP22" i="23" s="1"/>
  <c r="X192" i="18"/>
  <c r="X198" i="18" s="1"/>
  <c r="X217" i="18" s="1"/>
  <c r="AC7" i="22" s="1"/>
  <c r="BO17" i="23" s="1"/>
  <c r="BO38" i="23" s="1"/>
  <c r="X166" i="18"/>
  <c r="X172" i="18" s="1"/>
  <c r="X215" i="18" s="1"/>
  <c r="AC5" i="22" s="1"/>
  <c r="BO15" i="23" s="1"/>
  <c r="BO22" i="23" s="1"/>
  <c r="W192" i="18"/>
  <c r="W198" i="18" s="1"/>
  <c r="W217" i="18" s="1"/>
  <c r="AB7" i="22" s="1"/>
  <c r="BN17" i="23" s="1"/>
  <c r="BN37" i="23" s="1"/>
  <c r="W166" i="18"/>
  <c r="W172" i="18" s="1"/>
  <c r="W215" i="18" s="1"/>
  <c r="AB5" i="22" s="1"/>
  <c r="BN15" i="23" s="1"/>
  <c r="BN21" i="23" s="1"/>
  <c r="L198" i="18"/>
  <c r="L217" i="18" s="1"/>
  <c r="Q7" i="22" s="1"/>
  <c r="BC17" i="23" s="1"/>
  <c r="BC35" i="23" s="1"/>
  <c r="M198" i="18"/>
  <c r="M217" i="18" s="1"/>
  <c r="R7" i="22" s="1"/>
  <c r="BD17" i="23" s="1"/>
  <c r="BD35" i="23" s="1"/>
  <c r="AX17" i="23"/>
  <c r="AX39" i="23" s="1"/>
  <c r="BR39" i="23" s="1"/>
  <c r="H93" i="23" s="1"/>
  <c r="H95" i="23" s="1"/>
  <c r="BG17" i="23"/>
  <c r="BG36" i="23" s="1"/>
  <c r="BF17" i="23"/>
  <c r="BF36" i="23" s="1"/>
  <c r="BH17" i="23"/>
  <c r="BH36" i="23" s="1"/>
  <c r="BA17" i="23"/>
  <c r="BA35" i="23" s="1"/>
  <c r="C35" i="15"/>
  <c r="U125" i="31" s="1"/>
  <c r="C36" i="30"/>
  <c r="F36" i="30" s="1"/>
  <c r="B100" i="30" s="1"/>
  <c r="J115" i="31"/>
  <c r="C14" i="31"/>
  <c r="C13" i="31" s="1"/>
  <c r="U12" i="31"/>
  <c r="Y83" i="31" s="1"/>
  <c r="C258" i="32"/>
  <c r="R192" i="18"/>
  <c r="R198" i="18" s="1"/>
  <c r="R217" i="18" s="1"/>
  <c r="W7" i="22" s="1"/>
  <c r="R179" i="18"/>
  <c r="I198" i="18"/>
  <c r="I217" i="18" s="1"/>
  <c r="N7" i="22" s="1"/>
  <c r="T177" i="18"/>
  <c r="T164" i="18"/>
  <c r="T192" i="18"/>
  <c r="T198" i="18" s="1"/>
  <c r="T217" i="18" s="1"/>
  <c r="Y7" i="22" s="1"/>
  <c r="T179" i="18"/>
  <c r="U192" i="18"/>
  <c r="U198" i="18" s="1"/>
  <c r="U217" i="18" s="1"/>
  <c r="Z7" i="22" s="1"/>
  <c r="BL17" i="23" s="1"/>
  <c r="BL37" i="23" s="1"/>
  <c r="U179" i="18"/>
  <c r="V192" i="18"/>
  <c r="V198" i="18" s="1"/>
  <c r="V217" i="18" s="1"/>
  <c r="AA7" i="22" s="1"/>
  <c r="BM17" i="23" s="1"/>
  <c r="BM37" i="23" s="1"/>
  <c r="V179" i="18"/>
  <c r="S192" i="18"/>
  <c r="S198" i="18" s="1"/>
  <c r="S217" i="18" s="1"/>
  <c r="X7" i="22" s="1"/>
  <c r="S179" i="18"/>
  <c r="O165" i="18"/>
  <c r="S165" i="18"/>
  <c r="K165" i="18"/>
  <c r="R165" i="18"/>
  <c r="M165" i="18"/>
  <c r="P165" i="18"/>
  <c r="J165" i="18"/>
  <c r="N165" i="18"/>
  <c r="L165" i="18"/>
  <c r="Q165" i="18"/>
  <c r="G165" i="18"/>
  <c r="G178" i="18"/>
  <c r="I165" i="18"/>
  <c r="I178" i="18"/>
  <c r="H165" i="18"/>
  <c r="H191" i="18"/>
  <c r="H198" i="18" s="1"/>
  <c r="H217" i="18" s="1"/>
  <c r="M7" i="22" s="1"/>
  <c r="S177" i="18"/>
  <c r="O177" i="18"/>
  <c r="P177" i="18"/>
  <c r="P185" i="18" s="1"/>
  <c r="P216" i="18" s="1"/>
  <c r="U6" i="22" s="1"/>
  <c r="L177" i="18"/>
  <c r="L185" i="18" s="1"/>
  <c r="L216" i="18" s="1"/>
  <c r="Q6" i="22" s="1"/>
  <c r="N177" i="18"/>
  <c r="N185" i="18" s="1"/>
  <c r="N216" i="18" s="1"/>
  <c r="S6" i="22" s="1"/>
  <c r="Q177" i="18"/>
  <c r="R177" i="18"/>
  <c r="M177" i="18"/>
  <c r="M185" i="18" s="1"/>
  <c r="M216" i="18" s="1"/>
  <c r="R6" i="22" s="1"/>
  <c r="K177" i="18"/>
  <c r="O163" i="18"/>
  <c r="P163" i="18"/>
  <c r="S163" i="18"/>
  <c r="K163" i="18"/>
  <c r="M163" i="18"/>
  <c r="L163" i="18"/>
  <c r="N163" i="18"/>
  <c r="T163" i="18"/>
  <c r="T176" i="18"/>
  <c r="I163" i="18"/>
  <c r="I176" i="18"/>
  <c r="R163" i="18"/>
  <c r="Q163" i="18"/>
  <c r="J163" i="18"/>
  <c r="H163" i="18"/>
  <c r="H176" i="18"/>
  <c r="H185" i="18" s="1"/>
  <c r="H216" i="18" s="1"/>
  <c r="M6" i="22" s="1"/>
  <c r="G163" i="18"/>
  <c r="G176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U175" i="18" s="1"/>
  <c r="U172" i="18"/>
  <c r="U215" i="18" s="1"/>
  <c r="Z5" i="22" s="1"/>
  <c r="BL15" i="23" s="1"/>
  <c r="BL21" i="23" s="1"/>
  <c r="B154" i="18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175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AA140" i="18"/>
  <c r="T158" i="18"/>
  <c r="C52" i="15"/>
  <c r="C24" i="15"/>
  <c r="C39" i="15"/>
  <c r="C10" i="31" s="1"/>
  <c r="C43" i="15"/>
  <c r="C9" i="31" s="1"/>
  <c r="D276" i="32" l="1"/>
  <c r="D290" i="32" s="1"/>
  <c r="O185" i="18"/>
  <c r="O216" i="18" s="1"/>
  <c r="T6" i="22" s="1"/>
  <c r="BF16" i="23" s="1"/>
  <c r="BF28" i="23" s="1"/>
  <c r="Q185" i="18"/>
  <c r="Q216" i="18" s="1"/>
  <c r="V6" i="22" s="1"/>
  <c r="BH16" i="23" s="1"/>
  <c r="BH28" i="23" s="1"/>
  <c r="R172" i="18"/>
  <c r="R215" i="18" s="1"/>
  <c r="W5" i="22" s="1"/>
  <c r="U185" i="18"/>
  <c r="U216" i="18" s="1"/>
  <c r="Z6" i="22" s="1"/>
  <c r="BL16" i="23" s="1"/>
  <c r="BL29" i="23" s="1"/>
  <c r="B192" i="18"/>
  <c r="B198" i="18" s="1"/>
  <c r="AA198" i="18" s="1"/>
  <c r="B166" i="18"/>
  <c r="BK17" i="23"/>
  <c r="BK37" i="23" s="1"/>
  <c r="AZ17" i="23"/>
  <c r="AZ35" i="23" s="1"/>
  <c r="AY17" i="23"/>
  <c r="AY35" i="23" s="1"/>
  <c r="AY16" i="23"/>
  <c r="AY27" i="23" s="1"/>
  <c r="BJ17" i="23"/>
  <c r="BJ37" i="23" s="1"/>
  <c r="BR36" i="23"/>
  <c r="E93" i="23" s="1"/>
  <c r="E95" i="23" s="1"/>
  <c r="BE16" i="23"/>
  <c r="BE28" i="23" s="1"/>
  <c r="BD16" i="23"/>
  <c r="BD27" i="23" s="1"/>
  <c r="BI17" i="23"/>
  <c r="BI37" i="23" s="1"/>
  <c r="BC16" i="23"/>
  <c r="BC27" i="23" s="1"/>
  <c r="BG16" i="23"/>
  <c r="BG28" i="23" s="1"/>
  <c r="P172" i="18"/>
  <c r="P215" i="18" s="1"/>
  <c r="U5" i="22" s="1"/>
  <c r="D100" i="30"/>
  <c r="B119" i="30"/>
  <c r="B102" i="30"/>
  <c r="D258" i="32"/>
  <c r="D282" i="32" s="1"/>
  <c r="D287" i="32" s="1"/>
  <c r="C282" i="32"/>
  <c r="C287" i="32" s="1"/>
  <c r="AG138" i="31"/>
  <c r="AG140" i="31" s="1"/>
  <c r="L13" i="31"/>
  <c r="J13" i="31"/>
  <c r="AG126" i="31"/>
  <c r="AG128" i="31" s="1"/>
  <c r="L9" i="31"/>
  <c r="M172" i="18"/>
  <c r="M215" i="18" s="1"/>
  <c r="R5" i="22" s="1"/>
  <c r="O172" i="18"/>
  <c r="O215" i="18" s="1"/>
  <c r="T5" i="22" s="1"/>
  <c r="AG141" i="31"/>
  <c r="AG143" i="31" s="1"/>
  <c r="L14" i="31"/>
  <c r="J14" i="31"/>
  <c r="AG129" i="31"/>
  <c r="AG131" i="31" s="1"/>
  <c r="L10" i="31"/>
  <c r="B119" i="31"/>
  <c r="J119" i="31" s="1"/>
  <c r="C29" i="31"/>
  <c r="J29" i="31" s="1"/>
  <c r="R185" i="18"/>
  <c r="R216" i="18" s="1"/>
  <c r="W6" i="22" s="1"/>
  <c r="Q172" i="18"/>
  <c r="Q215" i="18" s="1"/>
  <c r="V5" i="22" s="1"/>
  <c r="N172" i="18"/>
  <c r="N215" i="18" s="1"/>
  <c r="S5" i="22" s="1"/>
  <c r="S172" i="18"/>
  <c r="S215" i="18" s="1"/>
  <c r="X5" i="22" s="1"/>
  <c r="P218" i="18"/>
  <c r="U9" i="22" s="1"/>
  <c r="K175" i="18"/>
  <c r="K185" i="18" s="1"/>
  <c r="K216" i="18" s="1"/>
  <c r="P6" i="22" s="1"/>
  <c r="K162" i="18"/>
  <c r="K172" i="18" s="1"/>
  <c r="K215" i="18" s="1"/>
  <c r="P5" i="22" s="1"/>
  <c r="L172" i="18"/>
  <c r="L215" i="18" s="1"/>
  <c r="Q5" i="22" s="1"/>
  <c r="S185" i="18"/>
  <c r="S216" i="18" s="1"/>
  <c r="X6" i="22" s="1"/>
  <c r="G172" i="18"/>
  <c r="G215" i="18" s="1"/>
  <c r="L5" i="22" s="1"/>
  <c r="I185" i="18"/>
  <c r="I216" i="18" s="1"/>
  <c r="N6" i="22" s="1"/>
  <c r="G185" i="18"/>
  <c r="G216" i="18" s="1"/>
  <c r="L6" i="22" s="1"/>
  <c r="M218" i="18"/>
  <c r="R9" i="22" s="1"/>
  <c r="T185" i="18"/>
  <c r="T216" i="18" s="1"/>
  <c r="Y6" i="22" s="1"/>
  <c r="V185" i="18"/>
  <c r="V216" i="18" s="1"/>
  <c r="AA6" i="22" s="1"/>
  <c r="J218" i="18"/>
  <c r="O9" i="22" s="1"/>
  <c r="H172" i="18"/>
  <c r="H215" i="18" s="1"/>
  <c r="M5" i="22" s="1"/>
  <c r="S218" i="18"/>
  <c r="X9" i="22" s="1"/>
  <c r="N218" i="18"/>
  <c r="S9" i="22" s="1"/>
  <c r="R218" i="18"/>
  <c r="W9" i="22" s="1"/>
  <c r="K218" i="18"/>
  <c r="P9" i="22" s="1"/>
  <c r="L218" i="18"/>
  <c r="Q9" i="22" s="1"/>
  <c r="Q218" i="18"/>
  <c r="V9" i="22" s="1"/>
  <c r="O218" i="18"/>
  <c r="T9" i="22" s="1"/>
  <c r="I172" i="18"/>
  <c r="I215" i="18" s="1"/>
  <c r="N5" i="22" s="1"/>
  <c r="J175" i="18"/>
  <c r="J185" i="18" s="1"/>
  <c r="J216" i="18" s="1"/>
  <c r="O6" i="22" s="1"/>
  <c r="J162" i="18"/>
  <c r="J172" i="18" s="1"/>
  <c r="J215" i="18" s="1"/>
  <c r="O5" i="22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I5" i="22"/>
  <c r="AC8" i="22"/>
  <c r="BO5" i="23" s="1"/>
  <c r="J5" i="22"/>
  <c r="H5" i="22"/>
  <c r="K5" i="22"/>
  <c r="Z8" i="22"/>
  <c r="BL5" i="23" s="1"/>
  <c r="BL9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B218" i="18"/>
  <c r="G9" i="22" s="1"/>
  <c r="AA120" i="18"/>
  <c r="T171" i="18"/>
  <c r="T172" i="18" s="1"/>
  <c r="D292" i="32" l="1"/>
  <c r="D294" i="32" s="1"/>
  <c r="B217" i="18"/>
  <c r="G7" i="22" s="1"/>
  <c r="AS17" i="23" s="1"/>
  <c r="AS38" i="23" s="1"/>
  <c r="BR38" i="23" s="1"/>
  <c r="G93" i="23" s="1"/>
  <c r="G95" i="23" s="1"/>
  <c r="C292" i="32"/>
  <c r="C294" i="32" s="1"/>
  <c r="BR35" i="23"/>
  <c r="D93" i="23" s="1"/>
  <c r="D95" i="23" s="1"/>
  <c r="BR37" i="23"/>
  <c r="F93" i="23" s="1"/>
  <c r="F95" i="23" s="1"/>
  <c r="BK16" i="23"/>
  <c r="BK29" i="23" s="1"/>
  <c r="BR28" i="23"/>
  <c r="E83" i="23" s="1"/>
  <c r="E85" i="23" s="1"/>
  <c r="AZ16" i="23"/>
  <c r="AZ27" i="23" s="1"/>
  <c r="AZ15" i="23"/>
  <c r="AZ19" i="23" s="1"/>
  <c r="AX16" i="23"/>
  <c r="AX31" i="23" s="1"/>
  <c r="BR31" i="23" s="1"/>
  <c r="H83" i="23" s="1"/>
  <c r="H85" i="23" s="1"/>
  <c r="AX15" i="23"/>
  <c r="AX23" i="23" s="1"/>
  <c r="BJ15" i="23"/>
  <c r="BJ21" i="23" s="1"/>
  <c r="BJ16" i="23"/>
  <c r="BJ29" i="23" s="1"/>
  <c r="BI16" i="23"/>
  <c r="BI29" i="23" s="1"/>
  <c r="BA15" i="23"/>
  <c r="BA19" i="23" s="1"/>
  <c r="BA16" i="23"/>
  <c r="BA27" i="23" s="1"/>
  <c r="BB16" i="23"/>
  <c r="BB27" i="23" s="1"/>
  <c r="BB15" i="23"/>
  <c r="BB19" i="23" s="1"/>
  <c r="D119" i="30"/>
  <c r="B122" i="30"/>
  <c r="B128" i="30" s="1"/>
  <c r="B130" i="30" s="1"/>
  <c r="H8" i="22"/>
  <c r="AT5" i="23" s="1"/>
  <c r="AT10" i="23" s="1"/>
  <c r="AT15" i="23"/>
  <c r="AT22" i="23" s="1"/>
  <c r="M8" i="22"/>
  <c r="AY15" i="23"/>
  <c r="AY19" i="23" s="1"/>
  <c r="J8" i="22"/>
  <c r="AV5" i="23" s="1"/>
  <c r="AV11" i="23" s="1"/>
  <c r="AV15" i="23"/>
  <c r="AV23" i="23" s="1"/>
  <c r="I8" i="22"/>
  <c r="AU5" i="23" s="1"/>
  <c r="AU11" i="23" s="1"/>
  <c r="AU15" i="23"/>
  <c r="AU23" i="23" s="1"/>
  <c r="Q8" i="22"/>
  <c r="BC15" i="23"/>
  <c r="BC19" i="23" s="1"/>
  <c r="T8" i="22"/>
  <c r="BF15" i="23"/>
  <c r="BF20" i="23" s="1"/>
  <c r="W8" i="22"/>
  <c r="BI15" i="23"/>
  <c r="BI21" i="23" s="1"/>
  <c r="AA8" i="22"/>
  <c r="BM5" i="23" s="1"/>
  <c r="BM9" i="23" s="1"/>
  <c r="BM16" i="23"/>
  <c r="BM29" i="23" s="1"/>
  <c r="S8" i="22"/>
  <c r="BE15" i="23"/>
  <c r="BE20" i="23" s="1"/>
  <c r="R8" i="22"/>
  <c r="BD15" i="23"/>
  <c r="BD19" i="23" s="1"/>
  <c r="K8" i="22"/>
  <c r="AW5" i="23" s="1"/>
  <c r="AW11" i="23" s="1"/>
  <c r="AW15" i="23"/>
  <c r="AW23" i="23" s="1"/>
  <c r="U8" i="22"/>
  <c r="BG15" i="23"/>
  <c r="BG20" i="23" s="1"/>
  <c r="V8" i="22"/>
  <c r="BH15" i="23"/>
  <c r="BH20" i="23" s="1"/>
  <c r="X8" i="22"/>
  <c r="P8" i="22"/>
  <c r="N8" i="22"/>
  <c r="BI8" i="23"/>
  <c r="BP9" i="23"/>
  <c r="BP10" i="23"/>
  <c r="AW9" i="23"/>
  <c r="AU9" i="23"/>
  <c r="AU10" i="23"/>
  <c r="AV9" i="23"/>
  <c r="AV10" i="23"/>
  <c r="BJ8" i="23"/>
  <c r="BO9" i="23"/>
  <c r="BO10" i="23"/>
  <c r="AT9" i="23"/>
  <c r="L8" i="22"/>
  <c r="AA211" i="18"/>
  <c r="O8" i="22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BR27" i="23" l="1"/>
  <c r="D83" i="23" s="1"/>
  <c r="D85" i="23" s="1"/>
  <c r="AZ5" i="23"/>
  <c r="AZ7" i="23" s="1"/>
  <c r="AY5" i="23"/>
  <c r="AY7" i="23" s="1"/>
  <c r="AX5" i="23"/>
  <c r="AX11" i="23" s="1"/>
  <c r="BR11" i="23" s="1"/>
  <c r="H25" i="23" s="1"/>
  <c r="H27" i="23" s="1"/>
  <c r="BR29" i="23"/>
  <c r="F83" i="23" s="1"/>
  <c r="F85" i="23" s="1"/>
  <c r="BJ5" i="23"/>
  <c r="BJ9" i="23" s="1"/>
  <c r="BH5" i="23"/>
  <c r="BH8" i="23" s="1"/>
  <c r="BE5" i="23"/>
  <c r="BE8" i="23" s="1"/>
  <c r="BC5" i="23"/>
  <c r="BC7" i="23" s="1"/>
  <c r="BG5" i="23"/>
  <c r="BG8" i="23" s="1"/>
  <c r="BI5" i="23"/>
  <c r="BI9" i="23" s="1"/>
  <c r="BD5" i="23"/>
  <c r="BD7" i="23" s="1"/>
  <c r="BF5" i="23"/>
  <c r="BF8" i="23" s="1"/>
  <c r="BA5" i="23"/>
  <c r="BA7" i="23" s="1"/>
  <c r="BB5" i="23"/>
  <c r="BB7" i="23" s="1"/>
  <c r="AD19" i="31"/>
  <c r="R17" i="31"/>
  <c r="K82" i="31"/>
  <c r="C4" i="22"/>
  <c r="C7" i="22" s="1"/>
  <c r="C166" i="32"/>
  <c r="D166" i="32" s="1"/>
  <c r="BR23" i="23"/>
  <c r="H73" i="23" s="1"/>
  <c r="H75" i="23" s="1"/>
  <c r="BR19" i="23"/>
  <c r="D73" i="23" s="1"/>
  <c r="D75" i="23" s="1"/>
  <c r="BR20" i="23"/>
  <c r="E73" i="23" s="1"/>
  <c r="E75" i="23" s="1"/>
  <c r="Y8" i="22"/>
  <c r="BK15" i="23"/>
  <c r="BK21" i="23" s="1"/>
  <c r="BR21" i="23" s="1"/>
  <c r="F73" i="23" s="1"/>
  <c r="F75" i="23" s="1"/>
  <c r="AX9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K25" i="23" l="1"/>
  <c r="C172" i="32" s="1"/>
  <c r="C175" i="32" s="1"/>
  <c r="D175" i="32" s="1"/>
  <c r="BR8" i="23"/>
  <c r="E25" i="23" s="1"/>
  <c r="E27" i="23" s="1"/>
  <c r="BR7" i="23"/>
  <c r="D25" i="23" s="1"/>
  <c r="D27" i="23" s="1"/>
  <c r="AG132" i="31"/>
  <c r="AG134" i="31" s="1"/>
  <c r="L11" i="31"/>
  <c r="J11" i="31"/>
  <c r="AE19" i="31"/>
  <c r="C20" i="31" s="1"/>
  <c r="AF19" i="31"/>
  <c r="D20" i="31" s="1"/>
  <c r="C155" i="32" s="1"/>
  <c r="D155" i="32" s="1"/>
  <c r="T112" i="31"/>
  <c r="M116" i="31"/>
  <c r="T110" i="31"/>
  <c r="K116" i="31"/>
  <c r="C214" i="32" s="1"/>
  <c r="L12" i="31"/>
  <c r="AG135" i="31"/>
  <c r="AG137" i="31" s="1"/>
  <c r="J12" i="31"/>
  <c r="T17" i="31"/>
  <c r="S17" i="31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C49" i="15"/>
  <c r="AK54" i="24"/>
  <c r="CD89" i="31" s="1"/>
  <c r="E82" i="31" s="1"/>
  <c r="BK5" i="23"/>
  <c r="BK9" i="23" s="1"/>
  <c r="K73" i="23" l="1"/>
  <c r="K27" i="23"/>
  <c r="B118" i="31" s="1"/>
  <c r="D172" i="32"/>
  <c r="AF8" i="22"/>
  <c r="AF5" i="22" s="1"/>
  <c r="AG147" i="31"/>
  <c r="U126" i="31" s="1"/>
  <c r="L82" i="31"/>
  <c r="C179" i="32"/>
  <c r="C216" i="32"/>
  <c r="D214" i="32"/>
  <c r="C152" i="32"/>
  <c r="J20" i="31"/>
  <c r="BR9" i="23"/>
  <c r="F25" i="23" s="1"/>
  <c r="G14" i="22"/>
  <c r="C11" i="22" s="1"/>
  <c r="F13" i="23" s="1"/>
  <c r="K13" i="23" s="1"/>
  <c r="C30" i="31" l="1"/>
  <c r="J30" i="31" s="1"/>
  <c r="K75" i="23"/>
  <c r="D179" i="32"/>
  <c r="D216" i="32"/>
  <c r="T111" i="31"/>
  <c r="L116" i="31"/>
  <c r="J82" i="31"/>
  <c r="C158" i="32"/>
  <c r="D158" i="32" s="1"/>
  <c r="D152" i="32"/>
  <c r="R16" i="31"/>
  <c r="AD18" i="31"/>
  <c r="C176" i="32"/>
  <c r="D176" i="32" s="1"/>
  <c r="J118" i="31"/>
  <c r="F27" i="23"/>
  <c r="C170" i="32"/>
  <c r="C160" i="32"/>
  <c r="D160" i="32" s="1"/>
  <c r="C177" i="32"/>
  <c r="D177" i="32" s="1"/>
  <c r="T16" i="31" l="1"/>
  <c r="S16" i="31"/>
  <c r="AE18" i="31"/>
  <c r="C19" i="31" s="1"/>
  <c r="AF18" i="31"/>
  <c r="D19" i="31" s="1"/>
  <c r="C218" i="32"/>
  <c r="J145" i="31"/>
  <c r="C173" i="32"/>
  <c r="C178" i="32"/>
  <c r="D170" i="32"/>
  <c r="D178" i="32" s="1"/>
  <c r="C154" i="32" l="1"/>
  <c r="D154" i="32" s="1"/>
  <c r="C180" i="32"/>
  <c r="C151" i="32"/>
  <c r="J19" i="31"/>
  <c r="C174" i="32"/>
  <c r="D174" i="32" s="1"/>
  <c r="D173" i="32"/>
  <c r="C221" i="32"/>
  <c r="D218" i="32"/>
  <c r="D221" i="32" s="1"/>
  <c r="C181" i="32" l="1"/>
  <c r="D180" i="32"/>
  <c r="D181" i="32" s="1"/>
  <c r="C157" i="32"/>
  <c r="D157" i="32" s="1"/>
  <c r="D151" i="32"/>
  <c r="K9" i="31" l="1"/>
  <c r="J9" i="31"/>
  <c r="K10" i="31" l="1"/>
  <c r="C199" i="32" s="1"/>
  <c r="D199" i="32" s="1"/>
  <c r="J10" i="31"/>
  <c r="J48" i="31" l="1"/>
  <c r="B174" i="31" s="1"/>
  <c r="C194" i="32"/>
  <c r="D194" i="32" l="1"/>
  <c r="D237" i="32" s="1"/>
  <c r="C237" i="32"/>
  <c r="B180" i="31"/>
  <c r="B181" i="31" s="1"/>
  <c r="B175" i="31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L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BA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BB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BD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I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BB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D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E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F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B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H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départ estive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fusionne avec le lot principal au retour de l'estive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normal car trsh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3,56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2,72
initial ajustement 3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4,22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3,23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2?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0,53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enlever pour simplifier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enelever pour simplifier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43 vaches dont 5 vides+2 morts pré sevrage =36 suitées 
- 7 ventes broutards
= 29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7 ventes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les 10 dernières suitées :
10 génisses renouvellement
10 vaches gestantes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10 réformes
compensées par la bascule des 10 dernières suitées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+10 génisses 
-13 tardives
5 naissances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genisse 2/3 ans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10 génisses de 6 mois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des génisses de renouvellement 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vers lot principal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sort les tardives</t>
        </r>
      </text>
    </comment>
    <comment ref="W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début des naissances pour les tardives 
5 naissances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N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S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Z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B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J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K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L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P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Q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<sst xmlns="http://schemas.openxmlformats.org/spreadsheetml/2006/main" count="3006" uniqueCount="1457">
  <si>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</si>
  <si>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</si>
  <si>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</si>
  <si>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</si>
  <si>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</si>
  <si>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</si>
  <si>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</si>
  <si>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</si>
  <si>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</si>
  <si>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</si>
  <si>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</si>
  <si>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</si>
  <si>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</si>
  <si>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</si>
  <si>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</si>
  <si>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</si>
  <si>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</si>
  <si>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</si>
  <si>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</si>
  <si>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</si>
  <si>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</si>
  <si>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</si>
  <si>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</si>
  <si>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</si>
  <si>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</si>
  <si>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</si>
  <si>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</si>
  <si>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</si>
  <si>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</si>
  <si>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</si>
  <si>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</si>
  <si>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</si>
  <si>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</si>
  <si>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</si>
  <si>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</si>
  <si>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</si>
  <si>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</si>
  <si>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</si>
  <si>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</si>
  <si>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</si>
  <si>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</si>
  <si>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</si>
  <si>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</si>
  <si>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</si>
  <si>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</si>
  <si>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</si>
  <si>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</si>
  <si>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</si>
  <si>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</si>
  <si>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</si>
  <si>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</si>
  <si>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</si>
  <si>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</si>
  <si>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</si>
  <si>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</si>
  <si>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</si>
  <si>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</si>
  <si>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</si>
  <si>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</si>
  <si>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</si>
  <si>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</si>
  <si>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</si>
  <si>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</si>
  <si>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</si>
  <si>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</si>
  <si>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</si>
  <si>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</si>
  <si>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</si>
  <si>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</si>
  <si>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</si>
  <si>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</si>
  <si>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</si>
  <si>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</si>
  <si>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</si>
  <si>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</si>
  <si>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</si>
  <si>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</si>
  <si>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</si>
  <si>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</si>
  <si>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</si>
  <si>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</si>
  <si>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</si>
  <si>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</si>
  <si>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</si>
  <si>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</si>
  <si>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</si>
  <si>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</si>
  <si>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</si>
  <si>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</si>
  <si>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</si>
  <si>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</si>
  <si>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</si>
  <si>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</si>
  <si>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</si>
  <si>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</si>
  <si>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</si>
  <si>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</si>
  <si>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</si>
  <si>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</si>
  <si>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</si>
  <si>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</si>
  <si>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</si>
  <si>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</si>
  <si>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</si>
  <si>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</si>
  <si>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</si>
  <si>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</si>
  <si>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</si>
  <si>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</si>
  <si>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</si>
  <si>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</si>
  <si>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</si>
  <si>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</si>
  <si>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</si>
  <si>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</si>
  <si>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</si>
  <si>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</si>
  <si>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</si>
  <si>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</si>
  <si>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</si>
  <si>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</si>
  <si>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</si>
  <si>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</si>
  <si>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</si>
  <si>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</si>
  <si>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</si>
  <si>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</si>
  <si>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</si>
  <si>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</si>
  <si>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</si>
  <si>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</si>
  <si>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</si>
  <si>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</si>
  <si>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</si>
  <si>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</si>
  <si>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</si>
  <si>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</si>
  <si>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</si>
  <si>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</si>
  <si>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</si>
  <si>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</si>
  <si>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</si>
  <si>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</si>
  <si>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</si>
  <si>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</si>
  <si>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</si>
  <si>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</si>
  <si>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</si>
  <si>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</si>
  <si>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</si>
  <si>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</si>
  <si>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</si>
  <si>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</si>
  <si>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</si>
  <si>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</si>
  <si>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</si>
  <si>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</si>
  <si>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</si>
  <si>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</si>
  <si>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</si>
  <si>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</si>
  <si>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</si>
  <si>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</si>
  <si>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</si>
  <si>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</si>
  <si>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</si>
  <si>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</si>
  <si>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</si>
  <si>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</si>
  <si>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</si>
  <si>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</si>
  <si>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</si>
  <si>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</si>
  <si>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</si>
  <si>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</si>
  <si>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</si>
  <si>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</si>
  <si>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</si>
  <si>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</si>
  <si>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</si>
  <si>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</si>
  <si>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</si>
  <si>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</si>
  <si>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</si>
  <si>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</si>
  <si>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</si>
  <si>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</si>
  <si>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</si>
  <si>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</si>
  <si>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</si>
  <si>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</si>
  <si>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</si>
  <si>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</si>
  <si>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</si>
  <si>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</si>
  <si>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</si>
  <si>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</si>
  <si>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</si>
  <si>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</si>
  <si>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</si>
  <si>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</si>
  <si>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</si>
  <si>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</si>
  <si>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</si>
  <si>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</si>
  <si>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</si>
  <si>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</si>
  <si>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</si>
  <si>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</si>
  <si>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</si>
  <si>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</si>
  <si>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</si>
  <si>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</si>
  <si>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</si>
  <si>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</si>
  <si>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</si>
  <si>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</si>
  <si>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</si>
  <si>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</si>
  <si>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</si>
  <si>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</si>
  <si>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</si>
  <si>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</si>
  <si>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</si>
  <si>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</si>
  <si>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</si>
  <si>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</si>
  <si>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</si>
  <si>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</si>
  <si>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</si>
  <si>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</si>
  <si>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</si>
  <si>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</si>
  <si>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</si>
  <si>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</si>
  <si>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</si>
  <si>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</si>
  <si>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</si>
  <si>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</si>
  <si>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</si>
  <si>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</si>
  <si>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</si>
  <si>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</si>
  <si>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</si>
  <si>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</si>
  <si>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</si>
  <si>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</si>
  <si>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</si>
  <si>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</si>
  <si>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</si>
  <si>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</si>
  <si>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</si>
  <si>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</si>
  <si>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</si>
  <si>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</si>
  <si>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</si>
  <si>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</si>
  <si>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</si>
  <si>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</si>
  <si>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</si>
  <si>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</si>
  <si>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</si>
  <si>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</si>
  <si>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</si>
  <si>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</si>
  <si>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</si>
  <si>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</si>
  <si>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</si>
  <si>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</si>
  <si>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</si>
  <si>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</si>
  <si>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</si>
  <si>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</si>
  <si>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</si>
  <si>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</si>
  <si>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</si>
  <si>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</si>
  <si>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</si>
  <si>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</si>
  <si>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</si>
  <si>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</si>
  <si>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</si>
  <si>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</si>
  <si>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</si>
  <si>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</si>
  <si>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</si>
  <si>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</si>
  <si>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</si>
  <si>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</si>
  <si>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</si>
  <si>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</si>
  <si>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</si>
  <si>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</si>
  <si>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</si>
  <si>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</si>
  <si>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</si>
  <si>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</si>
  <si>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</si>
  <si>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</si>
  <si>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</si>
  <si>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</si>
  <si>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</si>
  <si>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</si>
  <si>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</si>
  <si>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</si>
  <si>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</si>
  <si>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</si>
  <si>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</si>
  <si>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</si>
  <si>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</si>
  <si>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</si>
  <si>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</si>
  <si>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</si>
  <si>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</si>
  <si>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</si>
  <si>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</si>
  <si>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</si>
  <si>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</si>
  <si>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</si>
  <si>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</si>
  <si>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</si>
  <si>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</si>
  <si>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</si>
  <si>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</si>
  <si>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</si>
  <si>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</si>
  <si>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</si>
  <si>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</si>
  <si>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</si>
  <si>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</si>
  <si>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</si>
  <si>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</si>
  <si>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</si>
  <si>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</si>
  <si>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</si>
  <si>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</si>
  <si>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</si>
  <si>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</si>
  <si>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</si>
  <si>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</si>
  <si>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</si>
  <si>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</si>
  <si>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</si>
  <si>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</si>
  <si>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</si>
  <si>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</si>
  <si>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</si>
  <si>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</si>
  <si>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</si>
  <si>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</si>
  <si>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</si>
  <si>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</si>
  <si>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</si>
  <si>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</si>
  <si>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</si>
  <si>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</si>
  <si>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</si>
  <si>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</si>
  <si>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</si>
  <si>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</si>
  <si>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</si>
  <si>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</si>
  <si>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</si>
  <si>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</si>
  <si>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</si>
  <si>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</si>
  <si>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</si>
  <si>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</si>
  <si>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</si>
  <si>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</si>
  <si>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</si>
  <si>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</si>
  <si>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</si>
  <si>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</si>
  <si>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</si>
  <si>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</si>
  <si>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</si>
  <si>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</si>
  <si>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</si>
  <si>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</si>
  <si>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</si>
  <si>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</si>
  <si>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</si>
  <si>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</si>
  <si>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</si>
  <si>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</si>
  <si>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</si>
  <si>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</si>
  <si>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</si>
  <si>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</si>
  <si>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</si>
  <si>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</si>
  <si>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</si>
  <si>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</si>
  <si>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</si>
  <si>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</si>
  <si>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</si>
  <si>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</si>
  <si>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</si>
  <si>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</si>
  <si>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</si>
  <si>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</si>
  <si>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</si>
  <si>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</si>
  <si>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</si>
  <si>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</si>
  <si>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</si>
  <si>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</si>
  <si>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</si>
  <si>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</si>
  <si>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</si>
  <si>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</si>
  <si>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</si>
  <si>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</si>
  <si>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</si>
  <si>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</si>
  <si>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</si>
  <si>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</si>
  <si>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</si>
  <si>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</si>
  <si>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</si>
  <si>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</si>
  <si>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</si>
  <si>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</si>
  <si>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</si>
  <si>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</si>
  <si>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</si>
  <si>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</si>
  <si>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jeunes mâles engraissé pendant 4/5 mois (age tot?)</t>
  </si>
  <si>
    <t>14?</t>
  </si>
  <si>
    <t>achat fourrage : paille orge 15T</t>
  </si>
  <si>
    <t>achat C : maïs grain 40T correcteur N 8,5T</t>
  </si>
  <si>
    <t>autoconso C : 0</t>
  </si>
  <si>
    <t>Génisses renouvellement</t>
  </si>
  <si>
    <t>réforme</t>
  </si>
  <si>
    <t>génisses 2/3 ans</t>
  </si>
  <si>
    <t>tardive</t>
  </si>
  <si>
    <t>2 (que fauche)</t>
  </si>
  <si>
    <t>non</t>
  </si>
  <si>
    <t xml:space="preserve">tot </t>
  </si>
  <si>
    <t>mlp</t>
  </si>
  <si>
    <t>%</t>
  </si>
  <si>
    <t>pf</t>
  </si>
  <si>
    <t>pe</t>
  </si>
  <si>
    <t>lp</t>
  </si>
  <si>
    <t>hors exp</t>
  </si>
  <si>
    <t>distance</t>
  </si>
  <si>
    <t>type ancien codage enquete complémentaire</t>
  </si>
  <si>
    <t>proche</t>
  </si>
  <si>
    <t>2(1coupe)</t>
  </si>
  <si>
    <t>vente broutards</t>
  </si>
  <si>
    <t xml:space="preserve">Vaches lot principal </t>
  </si>
  <si>
    <t>Vaches suitées au pâturage</t>
  </si>
  <si>
    <t>BV</t>
  </si>
  <si>
    <t>saisie initiale lembeyou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</si>
  <si>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</si>
  <si>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</si>
  <si>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</si>
  <si>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</si>
  <si>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</si>
  <si>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</si>
  <si>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</si>
  <si>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</si>
  <si>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saisie initiale bvnaissm</t>
  </si>
  <si>
    <t>travail  bvnaissm</t>
  </si>
  <si>
    <t xml:space="preserve">convertisseur ugb </t>
  </si>
  <si>
    <t>nbr naiss</t>
  </si>
  <si>
    <t>nbr naiss cumul</t>
  </si>
  <si>
    <t>nbr ref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</si>
  <si>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</si>
  <si>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</si>
  <si>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</si>
  <si>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</si>
  <si>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</si>
  <si>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</si>
  <si>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</si>
  <si>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</si>
  <si>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</si>
  <si>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</si>
  <si>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</si>
  <si>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</si>
  <si>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</si>
  <si>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</si>
  <si>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</si>
  <si>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</si>
  <si>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</si>
  <si>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</si>
  <si>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</si>
  <si>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</si>
  <si>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</si>
  <si>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</si>
  <si>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</si>
  <si>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</si>
  <si>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</si>
  <si>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</si>
  <si>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</si>
  <si>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</si>
  <si>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</si>
  <si>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</si>
  <si>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</si>
  <si>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</si>
  <si>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</si>
  <si>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</si>
  <si>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</si>
  <si>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</si>
  <si>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</si>
  <si>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</si>
  <si>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</si>
  <si>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</si>
  <si>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</si>
  <si>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</si>
  <si>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</si>
  <si>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</si>
  <si>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</si>
  <si>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</si>
  <si>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</si>
  <si>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</si>
  <si>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</si>
  <si>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</si>
  <si>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</si>
  <si>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</si>
  <si>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</si>
  <si>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</si>
  <si>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</si>
  <si>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</si>
  <si>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</si>
  <si>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</si>
  <si>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</si>
  <si>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</si>
  <si>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</si>
  <si>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</si>
  <si>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</si>
  <si>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</si>
  <si>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</si>
  <si>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</si>
  <si>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</si>
  <si>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</si>
  <si>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</si>
  <si>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</si>
  <si>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</si>
  <si>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</si>
  <si>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</si>
  <si>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</si>
  <si>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</si>
  <si>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</si>
  <si>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</si>
  <si>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</si>
  <si>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</si>
  <si>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</si>
  <si>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</si>
  <si>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</si>
  <si>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</si>
  <si>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</si>
  <si>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</si>
  <si>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</si>
  <si>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</si>
  <si>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</si>
  <si>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</si>
  <si>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</si>
  <si>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</si>
  <si>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</si>
  <si>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</si>
  <si>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</si>
  <si>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</si>
  <si>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</si>
  <si>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</si>
  <si>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</si>
  <si>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</si>
  <si>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</si>
  <si>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</si>
  <si>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</si>
  <si>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</si>
  <si>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</si>
  <si>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</si>
  <si>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</si>
  <si>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</si>
  <si>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</si>
  <si>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</si>
  <si>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</si>
  <si>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</si>
  <si>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</si>
  <si>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</si>
  <si>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</si>
  <si>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</si>
  <si>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</si>
  <si>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</si>
  <si>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</si>
  <si>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</si>
  <si>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</si>
  <si>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</si>
  <si>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</si>
  <si>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</si>
  <si>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</si>
  <si>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</si>
  <si>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</si>
  <si>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</si>
  <si>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</si>
  <si>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</si>
  <si>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</si>
  <si>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</si>
  <si>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</si>
  <si>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</si>
  <si>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</si>
  <si>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</si>
  <si>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</si>
  <si>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</si>
  <si>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</si>
  <si>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</si>
  <si>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</si>
  <si>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</si>
  <si>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</si>
  <si>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</si>
  <si>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</si>
  <si>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</si>
  <si>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</si>
  <si>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</si>
  <si>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</si>
  <si>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</si>
  <si>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</si>
  <si>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</si>
  <si>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</si>
  <si>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</si>
  <si>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</si>
  <si>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</si>
  <si>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</si>
  <si>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</si>
  <si>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</si>
  <si>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</si>
  <si>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</si>
  <si>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</si>
  <si>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</si>
  <si>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</si>
  <si>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</si>
  <si>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</si>
  <si>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</si>
  <si>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</si>
  <si>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</si>
  <si>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</si>
  <si>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</si>
  <si>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</si>
  <si>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</si>
  <si>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</si>
  <si>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</si>
  <si>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</si>
  <si>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</si>
  <si>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</si>
  <si>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</si>
  <si>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</si>
  <si>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</si>
  <si>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</si>
  <si>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</si>
  <si>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</si>
  <si>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</si>
  <si>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</si>
  <si>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</si>
  <si>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</si>
  <si>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</si>
  <si>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</si>
  <si>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</si>
  <si>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</si>
  <si>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</si>
  <si>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</si>
  <si>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</si>
  <si>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</si>
  <si>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</si>
  <si>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</si>
  <si>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</si>
  <si>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</si>
  <si>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</si>
  <si>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</si>
  <si>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</si>
  <si>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</si>
  <si>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</si>
  <si>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</si>
  <si>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</si>
  <si>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</si>
  <si>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</si>
  <si>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</si>
  <si>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</si>
  <si>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</si>
  <si>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</si>
  <si>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</si>
  <si>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</si>
  <si>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</si>
  <si>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</si>
  <si>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</si>
  <si>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</si>
  <si>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</si>
  <si>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</si>
  <si>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</si>
  <si>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</si>
  <si>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</si>
  <si>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</si>
  <si>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</si>
  <si>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</si>
  <si>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</si>
  <si>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</si>
  <si>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</si>
  <si>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</si>
  <si>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</si>
  <si>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</si>
  <si>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</si>
  <si>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</si>
  <si>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</si>
  <si>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</si>
  <si>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</si>
  <si>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</si>
  <si>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</si>
  <si>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</si>
  <si>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</si>
  <si>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</si>
  <si>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</si>
  <si>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</si>
  <si>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</si>
  <si>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</si>
  <si>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</si>
  <si>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</si>
  <si>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</si>
  <si>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</si>
  <si>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</si>
  <si>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</si>
  <si>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</si>
  <si>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</si>
  <si>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</si>
  <si>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</si>
  <si>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</si>
  <si>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</si>
  <si>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</si>
  <si>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</si>
  <si>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</si>
  <si>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</si>
  <si>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</si>
  <si>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</si>
  <si>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</si>
  <si>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</si>
  <si>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</si>
  <si>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</si>
  <si>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</si>
  <si>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</si>
  <si>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</si>
  <si>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</si>
  <si>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</si>
  <si>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</si>
  <si>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</si>
  <si>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</si>
  <si>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</si>
  <si>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</si>
  <si>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</si>
  <si>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</si>
  <si>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</si>
  <si>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</si>
  <si>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</si>
  <si>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</si>
  <si>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</si>
  <si>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</si>
  <si>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</si>
  <si>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</si>
  <si>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</si>
  <si>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</si>
  <si>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</si>
  <si>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</si>
  <si>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</si>
  <si>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</si>
  <si>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</si>
  <si>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</si>
  <si>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</si>
  <si>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</si>
  <si>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</si>
  <si>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</si>
  <si>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</si>
  <si>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</si>
  <si>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</si>
  <si>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</si>
  <si>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</si>
  <si>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</si>
  <si>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</si>
  <si>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</si>
  <si>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</si>
  <si>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</si>
  <si>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</si>
  <si>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</si>
  <si>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</si>
  <si>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</si>
  <si>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</si>
  <si>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</si>
  <si>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</si>
  <si>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</si>
  <si>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</si>
  <si>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</si>
  <si>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</si>
  <si>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</si>
  <si>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</si>
  <si>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</si>
  <si>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</si>
  <si>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</si>
  <si>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</si>
  <si>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</si>
  <si>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</si>
  <si>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</si>
  <si>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</si>
  <si>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</si>
  <si>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</si>
  <si>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</si>
  <si>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</si>
  <si>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</si>
  <si>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</si>
  <si>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</si>
  <si>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</si>
  <si>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</si>
  <si>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</si>
  <si>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</si>
  <si>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</si>
  <si>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</si>
  <si>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</si>
  <si>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</si>
  <si>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</si>
  <si>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</si>
  <si>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</si>
  <si>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</si>
  <si>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</si>
  <si>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</si>
  <si>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</si>
  <si>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</si>
  <si>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</si>
  <si>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</si>
  <si>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</si>
  <si>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</si>
  <si>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</si>
  <si>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</si>
  <si>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</si>
  <si>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</si>
  <si>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</si>
  <si>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</si>
  <si>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</si>
  <si>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</si>
  <si>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</si>
  <si>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</si>
  <si>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</si>
  <si>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</si>
  <si>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</si>
  <si>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</si>
  <si>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</si>
  <si>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</si>
  <si>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</si>
  <si>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</si>
  <si>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</si>
  <si>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</si>
  <si>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</si>
  <si>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</si>
  <si>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</si>
  <si>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</si>
  <si>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</si>
  <si>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</si>
  <si>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</si>
  <si>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</si>
  <si>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</si>
  <si>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</si>
  <si>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</si>
  <si>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</si>
  <si>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</si>
  <si>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</si>
  <si>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</si>
  <si>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</si>
  <si>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</si>
  <si>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</si>
  <si>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</si>
  <si>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</si>
  <si>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</si>
  <si>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</si>
  <si>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</si>
  <si>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</si>
  <si>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</si>
  <si>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</si>
  <si>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</si>
  <si>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</si>
  <si>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</si>
  <si>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</si>
  <si>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</si>
  <si>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</si>
  <si>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</si>
  <si>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</si>
  <si>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</si>
  <si>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</si>
  <si>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</si>
  <si>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</si>
  <si>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</si>
  <si>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</si>
  <si>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</si>
  <si>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</si>
  <si>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</si>
  <si>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</si>
  <si>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</si>
  <si>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</si>
  <si>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</si>
  <si>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</si>
  <si>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</si>
  <si>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</si>
  <si>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</si>
  <si>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</si>
  <si>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</si>
  <si>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</si>
  <si>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</si>
  <si>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</si>
  <si>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</si>
  <si>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</si>
  <si>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</si>
  <si>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</si>
  <si>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</si>
  <si>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</si>
  <si>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</si>
  <si>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</si>
  <si>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</si>
  <si>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</si>
  <si>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</si>
  <si>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</si>
  <si>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</si>
  <si>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</si>
  <si>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</si>
  <si>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</si>
  <si>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</si>
  <si>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</si>
  <si>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</si>
  <si>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</si>
  <si>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</si>
  <si>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</si>
  <si>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</si>
  <si>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</si>
  <si>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</si>
  <si>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</si>
  <si>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</si>
  <si>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</si>
  <si>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</si>
  <si>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</si>
  <si>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</si>
  <si>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</si>
  <si>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</si>
  <si>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</si>
  <si>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</si>
  <si>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</si>
  <si>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</si>
  <si>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</si>
  <si>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</si>
  <si>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</si>
  <si>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</si>
  <si>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</si>
  <si>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</si>
  <si>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</si>
  <si>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</si>
  <si>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</si>
  <si>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</si>
  <si>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</si>
  <si>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</si>
  <si>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</si>
  <si>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</si>
  <si>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</si>
  <si>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</si>
  <si>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</si>
  <si>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</si>
  <si>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</si>
  <si>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</si>
  <si>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</si>
  <si>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</si>
  <si>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</si>
  <si>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</si>
  <si>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</si>
  <si>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</si>
  <si>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</si>
  <si>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</si>
  <si>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</si>
  <si>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</si>
  <si>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</si>
  <si>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</si>
  <si>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</si>
  <si>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</si>
  <si>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</si>
  <si>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</si>
  <si>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</si>
  <si>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</si>
  <si>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</si>
  <si>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</si>
  <si>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</si>
  <si>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</si>
  <si>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</si>
  <si>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</si>
  <si>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</si>
  <si>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</si>
  <si>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</si>
  <si>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</si>
  <si>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</si>
  <si>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</si>
  <si>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</si>
  <si>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</si>
  <si>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</si>
  <si>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</si>
  <si>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</si>
  <si>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</si>
  <si>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</si>
  <si>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</si>
  <si>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</si>
  <si>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</si>
  <si>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</si>
  <si>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</si>
  <si>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</si>
  <si>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</si>
  <si>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</si>
  <si>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</si>
  <si>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</si>
  <si>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</si>
  <si>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</si>
  <si>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</si>
  <si>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</si>
  <si>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</si>
  <si>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</si>
  <si>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</si>
  <si>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</si>
  <si>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</si>
  <si>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</si>
  <si>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</si>
  <si>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</si>
  <si>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</si>
  <si>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</si>
  <si>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</si>
  <si>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</si>
  <si>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</si>
  <si>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</si>
  <si>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</si>
  <si>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</si>
  <si>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</si>
  <si>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</si>
  <si>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</si>
  <si>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</si>
  <si>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</si>
  <si>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</si>
  <si>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</si>
  <si>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</si>
  <si>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</si>
  <si>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</si>
  <si>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</si>
  <si>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</si>
  <si>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</si>
  <si>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</si>
  <si>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</si>
  <si>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</si>
  <si>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</si>
  <si>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</si>
  <si>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</si>
  <si>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</si>
  <si>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</si>
  <si>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</si>
  <si>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</si>
  <si>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</si>
  <si>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</si>
  <si>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</si>
  <si>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</si>
  <si>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</si>
  <si>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</si>
  <si>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</si>
  <si>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</si>
  <si>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</si>
  <si>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</si>
  <si>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</si>
  <si>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</si>
  <si>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</si>
  <si>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</si>
  <si>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</si>
  <si>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</si>
  <si>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</si>
  <si>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</si>
  <si>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</si>
  <si>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</si>
  <si>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</si>
  <si>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</si>
  <si>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</si>
  <si>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</si>
  <si>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</si>
  <si>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</si>
  <si>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</si>
  <si>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</si>
  <si>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</si>
  <si>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</si>
  <si>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</si>
  <si>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</si>
  <si>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</si>
  <si>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</si>
  <si>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</si>
  <si>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</si>
  <si>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</si>
  <si>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</si>
  <si>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</si>
  <si>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</si>
  <si>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</si>
  <si>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</si>
  <si>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</si>
  <si>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</si>
  <si>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</si>
  <si>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</si>
  <si>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</si>
  <si>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</si>
  <si>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</si>
  <si>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</si>
  <si>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</si>
  <si>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</si>
  <si>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</si>
  <si>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</si>
  <si>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</si>
  <si>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</si>
  <si>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</si>
  <si>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</si>
  <si>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</si>
  <si>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</si>
  <si>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</si>
  <si>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</si>
  <si>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</si>
  <si>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</si>
  <si>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</si>
  <si>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</si>
  <si>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</si>
  <si>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</si>
  <si>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</si>
  <si>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</si>
  <si>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</si>
  <si>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</si>
  <si>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</si>
  <si>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</si>
  <si>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</si>
  <si>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</si>
  <si>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</si>
  <si>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</si>
  <si>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</si>
  <si>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</si>
  <si>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</si>
  <si>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</si>
  <si>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</si>
  <si>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</si>
  <si>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</si>
  <si>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</si>
  <si>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</si>
  <si>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</si>
  <si>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</si>
  <si>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</si>
  <si>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</si>
  <si>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</si>
  <si>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</si>
  <si>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</si>
  <si>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</si>
  <si>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</si>
  <si>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</si>
  <si>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</si>
  <si>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</si>
  <si>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</si>
  <si>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</si>
  <si>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</si>
  <si>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</si>
  <si>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</si>
  <si>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</si>
  <si>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</si>
  <si>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</si>
  <si>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</si>
  <si>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</si>
  <si>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</si>
  <si>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</si>
  <si>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</si>
  <si>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</si>
  <si>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</si>
  <si>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</si>
  <si>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</si>
  <si>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</si>
  <si>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</si>
  <si>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</si>
  <si>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</si>
  <si>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</si>
  <si>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</si>
  <si>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</si>
  <si>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</si>
  <si>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</si>
  <si>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</si>
  <si>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</si>
  <si>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</si>
  <si>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</si>
  <si>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</si>
  <si>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</si>
  <si>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</si>
  <si>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</si>
  <si>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</si>
  <si>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</si>
  <si>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</si>
  <si>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</si>
  <si>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</si>
  <si>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</si>
  <si>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</si>
  <si>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</si>
  <si>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</si>
  <si>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</si>
  <si>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</si>
  <si>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</si>
  <si>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</si>
  <si>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</si>
  <si>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</si>
  <si>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</si>
  <si>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</si>
  <si>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</si>
  <si>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</si>
  <si>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</si>
  <si>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</si>
  <si>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</si>
  <si>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</si>
  <si>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</si>
  <si>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</si>
  <si>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</si>
  <si>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</si>
  <si>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</si>
  <si>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</si>
  <si>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</si>
  <si>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</si>
  <si>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</si>
  <si>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</si>
  <si>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</si>
  <si>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</si>
  <si>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</si>
  <si>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</si>
  <si>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</si>
  <si>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</si>
  <si>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</si>
  <si>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</si>
  <si>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</si>
  <si>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</si>
  <si>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</si>
  <si>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</si>
  <si>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</si>
  <si>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</si>
  <si>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</si>
  <si>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</si>
  <si>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</si>
  <si>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</si>
  <si>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</si>
  <si>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</si>
  <si>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</si>
  <si>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</si>
  <si>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</si>
  <si>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</si>
  <si>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</si>
  <si>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</si>
  <si>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</si>
  <si>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</si>
  <si>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</si>
  <si>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</si>
  <si>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</si>
  <si>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</si>
  <si>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</si>
  <si>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</si>
  <si>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</si>
  <si>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</si>
  <si>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</si>
  <si>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</si>
  <si>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</si>
  <si>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</si>
  <si>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</si>
  <si>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</si>
  <si>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</si>
  <si>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</si>
  <si>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</si>
  <si>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</si>
  <si>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</si>
  <si>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</si>
  <si>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</si>
  <si>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</si>
  <si>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</si>
  <si>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</si>
  <si>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</si>
  <si>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</si>
  <si>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</si>
  <si>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</si>
  <si>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</si>
  <si>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</si>
  <si>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</si>
  <si>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</si>
  <si>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</si>
  <si>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</si>
  <si>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</si>
  <si>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</si>
  <si>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</si>
  <si>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</si>
  <si>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</si>
  <si>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</si>
  <si>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</si>
  <si>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</si>
  <si>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</si>
  <si>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</si>
  <si>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</si>
  <si>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</si>
  <si>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</si>
  <si>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</si>
  <si>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</si>
  <si>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</si>
  <si>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</si>
  <si>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</si>
  <si>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</si>
  <si>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</si>
  <si>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</si>
  <si>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</si>
  <si>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</si>
  <si>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</si>
  <si>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</si>
  <si>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</si>
  <si>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</si>
  <si>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</si>
  <si>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</si>
  <si>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</si>
  <si>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</si>
  <si>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</si>
  <si>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</si>
  <si>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</si>
  <si>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</si>
  <si>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</si>
  <si>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</si>
  <si>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</si>
  <si>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</si>
  <si>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</si>
  <si>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</si>
  <si>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</si>
  <si>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</si>
  <si>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</si>
  <si>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</si>
  <si>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</si>
  <si>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</si>
  <si>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</si>
  <si>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</si>
  <si>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</si>
  <si>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</si>
  <si>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</si>
  <si>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</si>
  <si>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</si>
  <si>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</si>
  <si>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</si>
  <si>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</si>
  <si>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</si>
  <si>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</si>
  <si>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</si>
  <si>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</si>
  <si>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</si>
  <si>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</si>
  <si>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</si>
  <si>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</si>
  <si>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</si>
  <si>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</si>
  <si>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</si>
  <si>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</si>
  <si>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</si>
  <si>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</si>
  <si>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</si>
  <si>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</si>
  <si>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</si>
  <si>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</si>
  <si>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</si>
  <si>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</si>
  <si>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</si>
  <si>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</si>
  <si>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</si>
  <si>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</si>
  <si>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</si>
  <si>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</si>
  <si>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</si>
  <si>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</si>
  <si>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</si>
  <si>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</si>
  <si>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</si>
  <si>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</si>
  <si>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</si>
  <si>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</si>
  <si>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</si>
  <si>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</si>
  <si>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</si>
  <si>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</si>
  <si>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</si>
  <si>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</si>
  <si>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</si>
  <si>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</si>
  <si>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</si>
  <si>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</si>
  <si>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</si>
  <si>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</si>
  <si>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</si>
  <si>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</si>
  <si>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</si>
  <si>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</si>
  <si>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</si>
  <si>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</si>
  <si>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</si>
  <si>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</si>
  <si>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</si>
  <si>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</si>
  <si>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</si>
  <si>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</si>
  <si>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</si>
  <si>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</si>
  <si>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</si>
  <si>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</si>
  <si>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</si>
  <si>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</si>
  <si>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</si>
  <si>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</si>
  <si>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</si>
  <si>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</si>
  <si>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</si>
  <si>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</si>
  <si>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</si>
  <si>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</si>
  <si>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</si>
  <si>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</si>
  <si>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</si>
  <si>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</si>
  <si>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</si>
  <si>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</si>
  <si>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</si>
  <si>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</si>
  <si>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</si>
  <si>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</si>
  <si>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</si>
  <si>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</si>
  <si>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</si>
  <si>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</si>
  <si>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</si>
  <si>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</si>
  <si>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</si>
  <si>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</si>
  <si>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</si>
  <si>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</si>
  <si>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</si>
  <si>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</si>
  <si>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</si>
  <si>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</si>
  <si>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</si>
  <si>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</si>
  <si>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</si>
  <si>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</si>
  <si>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</si>
  <si>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</si>
  <si>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</si>
  <si>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nbre de mères initial  (Troupeau$B$17)</t>
  </si>
  <si>
    <t>effectif de lots situation initiale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</si>
  <si>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</si>
  <si>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</si>
  <si>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</si>
  <si>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</si>
  <si>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</si>
  <si>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</si>
  <si>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</si>
  <si>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</si>
  <si>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</si>
  <si>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</si>
  <si>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</si>
  <si>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</si>
  <si>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</si>
  <si>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</si>
  <si>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</si>
  <si>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</si>
  <si>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Z1_BV_T2_s5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</si>
</sst>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0" fillId="22" borderId="0" xfId="0" applyFill="1"/>
    <xf numFmtId="0" fontId="1" fillId="22" borderId="0" xfId="0" applyFont="1" applyFill="1"/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right"/>
    </xf>
    <xf numFmtId="0" fontId="1" fillId="2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21" fillId="2" borderId="2" xfId="0" applyFont="1" applyFill="1" applyBorder="1" applyAlignment="1" applyProtection="1">
      <alignment horizontal="center"/>
      <protection locked="0"/>
    </xf>
    <xf numFmtId="2" fontId="0" fillId="7" borderId="0" xfId="0" applyNumberFormat="1" applyFill="1"/>
    <xf numFmtId="0" fontId="15" fillId="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left" wrapText="1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85725</xdr:colOff>
      <xdr:row>29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50"/>
        </a:xfrm>
        <a:prstGeom prst="rect">
          <a:avLst/>
        </a:prstGeom>
      </xdr:spPr>
    </xdr:pic>
    <xdr:clientData/>
  </xdr:twoCellAnchor>
  <xdr:twoCellAnchor>
    <xdr:from>
      <xdr:col>25</xdr:col>
      <xdr:colOff>209550</xdr:colOff>
      <xdr:row>63</xdr:row>
      <xdr:rowOff>0</xdr:rowOff>
    </xdr:from>
    <xdr:to>
      <xdr:col>28</xdr:col>
      <xdr:colOff>514350</xdr:colOff>
      <xdr:row>72</xdr:row>
      <xdr:rowOff>142875</xdr:rowOff>
    </xdr:to>
    <xdr:sp macro="" textlink="">
      <xdr:nvSpPr>
        <xdr:cNvPr id="3" name="ZoneTexte 2"/>
        <xdr:cNvSpPr txBox="1"/>
      </xdr:nvSpPr>
      <xdr:spPr>
        <a:xfrm>
          <a:off x="9420225" y="12001500"/>
          <a:ext cx="259080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meme calendrier de repro</a:t>
          </a:r>
          <a:r>
            <a:rPr lang="fr-FR" sz="1100" baseline="0"/>
            <a:t> et mb que le ktype donc on applique le même calendrier zootech (seuls changements au niveau des ref et mb raccourcit de 2 quinzaines)</a:t>
          </a:r>
        </a:p>
        <a:p>
          <a:r>
            <a:rPr lang="fr-FR" sz="1100" baseline="0"/>
            <a:t>lembeyou</a:t>
          </a:r>
        </a:p>
        <a:p>
          <a:r>
            <a:rPr lang="fr-FR" sz="1100" baseline="0"/>
            <a:t>38 mb 36 sevrés</a:t>
          </a:r>
        </a:p>
        <a:p>
          <a:r>
            <a:rPr lang="fr-FR" sz="1100" baseline="0"/>
            <a:t>10 renouvellements</a:t>
          </a:r>
        </a:p>
        <a:p>
          <a:r>
            <a:rPr lang="fr-FR" sz="1100" baseline="0"/>
            <a:t>10 ref 0 mortes</a:t>
          </a:r>
        </a:p>
        <a:p>
          <a:r>
            <a:rPr lang="fr-FR" sz="1100" baseline="0"/>
            <a:t>8 broutardes </a:t>
          </a:r>
        </a:p>
        <a:p>
          <a:r>
            <a:rPr lang="fr-FR" sz="1100" baseline="0"/>
            <a:t>18 broutards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504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504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100.8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100.8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617.5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PT pâturée prélvt étalé</v>
          </cell>
          <cell r="D20" t="str">
            <v>zone 3</v>
          </cell>
          <cell r="E20">
            <v>3.5</v>
          </cell>
          <cell r="F20">
            <v>2.5</v>
          </cell>
          <cell r="G20">
            <v>3</v>
          </cell>
          <cell r="H20"/>
          <cell r="I20"/>
          <cell r="J20"/>
          <cell r="K20">
            <v>0</v>
          </cell>
          <cell r="L20">
            <v>9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483</v>
      </c>
      <c r="K1" s="80" t="s">
        <v>1456</v>
      </c>
    </row>
    <row r="2" spans="10:22" x14ac:dyDescent="0.25">
      <c r="J2" s="14" t="s">
        <v>484</v>
      </c>
      <c r="K2" s="80" t="s">
        <v>485</v>
      </c>
      <c r="P2" s="14" t="s">
        <v>485</v>
      </c>
      <c r="R2">
        <v>0</v>
      </c>
      <c r="S2" t="s">
        <v>438</v>
      </c>
    </row>
    <row r="3" spans="10:22" x14ac:dyDescent="0.25">
      <c r="J3" s="14" t="s">
        <v>486</v>
      </c>
      <c r="K3" s="80"/>
      <c r="P3" s="14" t="s">
        <v>487</v>
      </c>
      <c r="R3">
        <v>1</v>
      </c>
      <c r="S3" t="s">
        <v>488</v>
      </c>
    </row>
    <row r="4" spans="10:22" x14ac:dyDescent="0.25">
      <c r="J4" s="14" t="s">
        <v>489</v>
      </c>
      <c r="K4" s="80">
        <v>1</v>
      </c>
      <c r="P4" s="14" t="s">
        <v>490</v>
      </c>
    </row>
    <row r="5" spans="10:22" x14ac:dyDescent="0.25">
      <c r="J5" s="14" t="s">
        <v>491</v>
      </c>
      <c r="K5" s="80">
        <v>0</v>
      </c>
      <c r="T5" t="s">
        <v>492</v>
      </c>
      <c r="V5" t="s">
        <v>493</v>
      </c>
    </row>
    <row r="6" spans="10:22" x14ac:dyDescent="0.25">
      <c r="J6" s="14" t="s">
        <v>494</v>
      </c>
      <c r="K6" s="80">
        <v>0</v>
      </c>
      <c r="P6" s="14">
        <v>1</v>
      </c>
      <c r="Q6" t="s">
        <v>495</v>
      </c>
      <c r="T6" s="14" t="s">
        <v>453</v>
      </c>
      <c r="V6" s="14" t="s">
        <v>496</v>
      </c>
    </row>
    <row r="7" spans="10:22" x14ac:dyDescent="0.25">
      <c r="P7" s="14">
        <v>2</v>
      </c>
      <c r="Q7" t="s">
        <v>497</v>
      </c>
      <c r="T7" s="14" t="s">
        <v>498</v>
      </c>
      <c r="V7" s="14" t="s">
        <v>499</v>
      </c>
    </row>
    <row r="8" spans="10:22" x14ac:dyDescent="0.25">
      <c r="J8" s="14" t="s">
        <v>500</v>
      </c>
      <c r="K8" s="80">
        <v>1</v>
      </c>
      <c r="P8" s="14">
        <v>3</v>
      </c>
      <c r="Q8" t="s">
        <v>501</v>
      </c>
      <c r="T8" s="14" t="s">
        <v>502</v>
      </c>
      <c r="V8" s="14" t="s">
        <v>503</v>
      </c>
    </row>
    <row r="9" spans="10:22" x14ac:dyDescent="0.25">
      <c r="J9" s="14" t="s">
        <v>504</v>
      </c>
      <c r="K9" s="80" t="s">
        <v>519</v>
      </c>
      <c r="P9" s="14">
        <v>4</v>
      </c>
      <c r="Q9" t="s">
        <v>505</v>
      </c>
      <c r="T9" s="14" t="s">
        <v>506</v>
      </c>
      <c r="V9" s="14" t="s">
        <v>507</v>
      </c>
    </row>
    <row r="10" spans="10:22" x14ac:dyDescent="0.25">
      <c r="J10" s="14" t="s">
        <v>508</v>
      </c>
      <c r="K10" s="169">
        <f>IF(K9="HM",1,IF(K9="M1",1,IF(K9="M2",1,0)))</f>
        <v>1</v>
      </c>
      <c r="P10" s="14">
        <v>5</v>
      </c>
      <c r="Q10" t="s">
        <v>509</v>
      </c>
      <c r="T10" s="14" t="s">
        <v>510</v>
      </c>
      <c r="V10" s="14" t="s">
        <v>511</v>
      </c>
    </row>
    <row r="11" spans="10:22" x14ac:dyDescent="0.25">
      <c r="J11" s="14" t="s">
        <v>512</v>
      </c>
      <c r="K11" s="169">
        <f>IF(K9=0,0,1)</f>
        <v>1</v>
      </c>
      <c r="P11" s="14"/>
      <c r="T11" s="14" t="s">
        <v>513</v>
      </c>
      <c r="V11" s="14" t="s">
        <v>514</v>
      </c>
    </row>
    <row r="12" spans="10:22" x14ac:dyDescent="0.25">
      <c r="J12" s="14" t="s">
        <v>515</v>
      </c>
      <c r="K12" s="80" t="s">
        <v>453</v>
      </c>
      <c r="P12" s="14"/>
      <c r="V12" s="14" t="s">
        <v>516</v>
      </c>
    </row>
    <row r="13" spans="10:22" x14ac:dyDescent="0.25">
      <c r="J13" s="14" t="s">
        <v>493</v>
      </c>
      <c r="K13" s="80" t="s">
        <v>514</v>
      </c>
      <c r="P13" s="14" t="s">
        <v>517</v>
      </c>
      <c r="Q13" t="s">
        <v>518</v>
      </c>
    </row>
    <row r="14" spans="10:22" x14ac:dyDescent="0.25">
      <c r="P14" s="14" t="s">
        <v>519</v>
      </c>
      <c r="Q14" t="s">
        <v>520</v>
      </c>
    </row>
    <row r="15" spans="10:22" x14ac:dyDescent="0.25">
      <c r="J15" s="14" t="s">
        <v>521</v>
      </c>
      <c r="K15" s="80">
        <v>0</v>
      </c>
      <c r="L15" t="s">
        <v>522</v>
      </c>
      <c r="P15" s="14" t="s">
        <v>523</v>
      </c>
      <c r="Q15" t="s">
        <v>524</v>
      </c>
    </row>
    <row r="16" spans="10:22" x14ac:dyDescent="0.25">
      <c r="J16" s="32" t="s">
        <v>525</v>
      </c>
      <c r="K16" s="80">
        <v>0</v>
      </c>
      <c r="P16" s="14" t="s">
        <v>526</v>
      </c>
      <c r="Q16" t="s">
        <v>527</v>
      </c>
    </row>
    <row r="17" spans="10:29" x14ac:dyDescent="0.25">
      <c r="J17" s="14" t="s">
        <v>528</v>
      </c>
      <c r="K17" s="80">
        <v>0</v>
      </c>
      <c r="P17" s="14" t="s">
        <v>529</v>
      </c>
      <c r="Q17" t="s">
        <v>530</v>
      </c>
    </row>
    <row r="18" spans="10:29" x14ac:dyDescent="0.25">
      <c r="J18" s="14" t="s">
        <v>531</v>
      </c>
      <c r="K18" s="80">
        <v>20</v>
      </c>
      <c r="P18" s="14">
        <v>0</v>
      </c>
      <c r="Q18" t="s">
        <v>532</v>
      </c>
    </row>
    <row r="19" spans="10:29" x14ac:dyDescent="0.25">
      <c r="J19" s="14" t="s">
        <v>533</v>
      </c>
      <c r="K19" s="80"/>
    </row>
    <row r="20" spans="10:29" x14ac:dyDescent="0.25">
      <c r="J20" s="14" t="s">
        <v>534</v>
      </c>
      <c r="K20" s="80"/>
    </row>
    <row r="21" spans="10:29" x14ac:dyDescent="0.25">
      <c r="J21" s="14" t="s">
        <v>535</v>
      </c>
      <c r="K21" s="80"/>
    </row>
    <row r="22" spans="10:29" x14ac:dyDescent="0.25">
      <c r="S22" s="2" t="s">
        <v>536</v>
      </c>
      <c r="T22" s="2"/>
      <c r="U22" s="2"/>
    </row>
    <row r="23" spans="10:29" x14ac:dyDescent="0.25">
      <c r="T23" s="167" t="s">
        <v>537</v>
      </c>
      <c r="U23" s="167" t="s">
        <v>51</v>
      </c>
      <c r="V23" s="167" t="s">
        <v>538</v>
      </c>
      <c r="W23" s="167" t="s">
        <v>539</v>
      </c>
      <c r="X23" s="167" t="s">
        <v>540</v>
      </c>
      <c r="Y23" s="167" t="s">
        <v>541</v>
      </c>
      <c r="Z23" s="167" t="s">
        <v>542</v>
      </c>
      <c r="AA23" s="167" t="s">
        <v>543</v>
      </c>
      <c r="AB23" s="167" t="s">
        <v>544</v>
      </c>
      <c r="AC23" s="167" t="s">
        <v>545</v>
      </c>
    </row>
    <row r="24" spans="10:29" x14ac:dyDescent="0.25">
      <c r="S24" s="169">
        <v>1</v>
      </c>
      <c r="T24" s="169">
        <f>'Alim -Surf'!D34</f>
        <v>6</v>
      </c>
      <c r="U24" s="169">
        <f>'Alim -Surf'!E34</f>
        <v>2.1</v>
      </c>
      <c r="V24" s="169" t="str">
        <f>IF(T24=0,0,VLOOKUP(T24,[1]Cult!$A$7:$H$76,8))</f>
        <v>ME</v>
      </c>
      <c r="W24" s="169">
        <f>IF(V24="ME",U24,0)</f>
        <v>2.1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28</v>
      </c>
      <c r="U25" s="169">
        <f>'Alim -Surf'!E35</f>
        <v>9.6999999999999993</v>
      </c>
      <c r="V25" s="169" t="str">
        <f>IF(T25=0,0,VLOOKUP(T25,[1]Cult!$A$7:$H$76,8))</f>
        <v>FL</v>
      </c>
      <c r="W25" s="169">
        <f t="shared" ref="W25:W33" si="0">IF(V25="ME",U25,0)</f>
        <v>0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9.6999999999999993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546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547</v>
      </c>
      <c r="K28" s="80">
        <v>15.6</v>
      </c>
      <c r="L28" t="s">
        <v>51</v>
      </c>
      <c r="M28" s="30">
        <f>U228</f>
        <v>17.600000000000001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548</v>
      </c>
      <c r="K29" s="80">
        <v>14.6</v>
      </c>
      <c r="L29" t="s">
        <v>51</v>
      </c>
      <c r="M29" s="30">
        <f>V228</f>
        <v>17.600000000000001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549</v>
      </c>
      <c r="K30" s="80">
        <v>2</v>
      </c>
      <c r="L30" t="s">
        <v>51</v>
      </c>
      <c r="M30" s="30">
        <f>W228</f>
        <v>4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550</v>
      </c>
      <c r="K31" s="80">
        <v>20</v>
      </c>
      <c r="L31" t="s">
        <v>441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551</v>
      </c>
      <c r="K32" s="169">
        <f>$AB$34</f>
        <v>9.6999999999999993</v>
      </c>
      <c r="M32" t="s">
        <v>552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132" x14ac:dyDescent="0.25">
      <c r="J33" s="14" t="s">
        <v>553</v>
      </c>
      <c r="K33" s="169">
        <f>SUM($K$34:$K$39)</f>
        <v>2.1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132" x14ac:dyDescent="0.25">
      <c r="J34" s="14" t="s">
        <v>306</v>
      </c>
      <c r="K34" s="169">
        <f>$W$34</f>
        <v>2.1</v>
      </c>
      <c r="S34" s="62" t="s">
        <v>13</v>
      </c>
      <c r="T34" s="46"/>
      <c r="U34" s="62">
        <f>SUM(U24:U33)</f>
        <v>11.799999999999999</v>
      </c>
      <c r="V34" s="62"/>
      <c r="W34" s="62">
        <f t="shared" ref="W34:AA34" si="7">SUM(W24:W33)</f>
        <v>2.1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9.6999999999999993</v>
      </c>
      <c r="AC34" s="62">
        <f>SUM(AC24:AC33)</f>
        <v>0</v>
      </c>
    </row>
    <row r="35" spans="10:132" x14ac:dyDescent="0.25">
      <c r="J35" s="14" t="s">
        <v>554</v>
      </c>
      <c r="K35" s="169">
        <f>$X$34</f>
        <v>0</v>
      </c>
    </row>
    <row r="36" spans="10:132" x14ac:dyDescent="0.25">
      <c r="J36" s="14" t="s">
        <v>555</v>
      </c>
      <c r="K36" s="169">
        <f>$Y$34</f>
        <v>0</v>
      </c>
    </row>
    <row r="37" spans="10:132" x14ac:dyDescent="0.25">
      <c r="J37" s="14" t="s">
        <v>556</v>
      </c>
      <c r="K37" s="169">
        <f>$Z$34</f>
        <v>0</v>
      </c>
    </row>
    <row r="38" spans="10:132" x14ac:dyDescent="0.25">
      <c r="J38" s="14" t="s">
        <v>557</v>
      </c>
      <c r="K38" s="169">
        <f>$AA$34</f>
        <v>0</v>
      </c>
    </row>
    <row r="39" spans="10:132" x14ac:dyDescent="0.25">
      <c r="J39" s="14" t="s">
        <v>558</v>
      </c>
      <c r="K39" s="169">
        <f>$AC$34</f>
        <v>0</v>
      </c>
    </row>
    <row r="40" spans="10:132" x14ac:dyDescent="0.25">
      <c r="J40" s="14" t="s">
        <v>559</v>
      </c>
      <c r="K40" s="169">
        <f>AC228</f>
        <v>0.6</v>
      </c>
    </row>
    <row r="41" spans="10:132" x14ac:dyDescent="0.25">
      <c r="J41" s="14" t="s">
        <v>560</v>
      </c>
      <c r="K41" s="169">
        <f>AD228</f>
        <v>17</v>
      </c>
    </row>
    <row r="42" spans="10:132" x14ac:dyDescent="0.25">
      <c r="J42" s="14" t="s">
        <v>561</v>
      </c>
      <c r="K42" s="169">
        <f>AA228</f>
        <v>0</v>
      </c>
    </row>
    <row r="43" spans="10:132" x14ac:dyDescent="0.25">
      <c r="J43" s="14" t="s">
        <v>562</v>
      </c>
      <c r="K43" s="169">
        <f>M28*K31/100</f>
        <v>3.52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563</v>
      </c>
      <c r="K48" s="169">
        <f>+K33+K40+K41</f>
        <v>19.7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564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438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565</v>
      </c>
      <c r="K51" s="1"/>
      <c r="M51">
        <v>1</v>
      </c>
      <c r="N51" t="s">
        <v>488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566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567</v>
      </c>
      <c r="K53" s="169" t="str">
        <f>Troupeau!B3</f>
        <v>BV</v>
      </c>
      <c r="L53" t="s">
        <v>568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569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570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571</v>
      </c>
      <c r="K56" s="170"/>
      <c r="N56" t="s">
        <v>572</v>
      </c>
      <c r="P56" t="s">
        <v>573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574</v>
      </c>
      <c r="K57" s="80" t="s">
        <v>573</v>
      </c>
      <c r="N57" t="s">
        <v>575</v>
      </c>
      <c r="P57" t="s">
        <v>576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577</v>
      </c>
      <c r="K58" s="1"/>
      <c r="P58" t="s">
        <v>578</v>
      </c>
    </row>
    <row r="59" spans="10:132" x14ac:dyDescent="0.25">
      <c r="J59" s="14" t="s">
        <v>579</v>
      </c>
      <c r="K59" s="1"/>
      <c r="P59" t="s">
        <v>580</v>
      </c>
    </row>
    <row r="60" spans="10:132" x14ac:dyDescent="0.25">
      <c r="J60" s="40" t="s">
        <v>581</v>
      </c>
      <c r="K60" s="169">
        <f>Troupeau!C3</f>
        <v>0</v>
      </c>
      <c r="L60" t="s">
        <v>582</v>
      </c>
      <c r="P60" t="s">
        <v>583</v>
      </c>
    </row>
    <row r="61" spans="10:132" x14ac:dyDescent="0.25">
      <c r="J61" s="14" t="s">
        <v>584</v>
      </c>
      <c r="K61" s="170"/>
      <c r="L61" s="30" t="str">
        <f>IF(COUNTIF(CdTrp2!B76:Y85,5)&gt;0, "OUI", "NON")</f>
        <v>NON</v>
      </c>
      <c r="P61" t="s">
        <v>585</v>
      </c>
    </row>
    <row r="62" spans="10:132" x14ac:dyDescent="0.25">
      <c r="J62" s="14" t="s">
        <v>586</v>
      </c>
      <c r="K62" s="80"/>
    </row>
    <row r="63" spans="10:132" x14ac:dyDescent="0.25">
      <c r="J63"/>
      <c r="K63"/>
    </row>
    <row r="64" spans="10:132" x14ac:dyDescent="0.25">
      <c r="J64" s="14" t="s">
        <v>587</v>
      </c>
      <c r="K64" s="80"/>
    </row>
    <row r="65" spans="10:22" x14ac:dyDescent="0.25">
      <c r="J65" s="40" t="s">
        <v>588</v>
      </c>
      <c r="K65" s="169">
        <f>Troupeau!D3</f>
        <v>0</v>
      </c>
      <c r="L65" t="s">
        <v>589</v>
      </c>
    </row>
    <row r="66" spans="10:22" x14ac:dyDescent="0.25">
      <c r="J66" s="14" t="s">
        <v>590</v>
      </c>
      <c r="K66" s="80"/>
      <c r="L66" s="30" t="str">
        <f>IF(COUNTIF(CdTrp3!B76:Y85,5)&gt;0, "OUI", "NON")</f>
        <v>NON</v>
      </c>
    </row>
    <row r="67" spans="10:22" x14ac:dyDescent="0.25">
      <c r="J67" s="14" t="s">
        <v>591</v>
      </c>
      <c r="K67" s="80"/>
    </row>
    <row r="68" spans="10:22" x14ac:dyDescent="0.25">
      <c r="J68"/>
      <c r="K68"/>
    </row>
    <row r="69" spans="10:22" x14ac:dyDescent="0.25">
      <c r="J69" s="14" t="s">
        <v>592</v>
      </c>
      <c r="K69" s="80"/>
    </row>
    <row r="70" spans="10:22" x14ac:dyDescent="0.25">
      <c r="J70" s="14" t="s">
        <v>593</v>
      </c>
      <c r="K70" s="169">
        <f>IF(K53="OL",0,K54*K55)</f>
        <v>0</v>
      </c>
    </row>
    <row r="71" spans="10:22" x14ac:dyDescent="0.25">
      <c r="J71" s="14" t="s">
        <v>594</v>
      </c>
      <c r="K71" s="169">
        <f>IF(K60="OL",0,K61*K62)</f>
        <v>0</v>
      </c>
    </row>
    <row r="72" spans="10:22" x14ac:dyDescent="0.25">
      <c r="J72" s="14" t="s">
        <v>595</v>
      </c>
      <c r="K72" s="169">
        <f>IF(K65="OL",0,K66*K67)</f>
        <v>0</v>
      </c>
    </row>
    <row r="73" spans="10:22" x14ac:dyDescent="0.25">
      <c r="J73" s="14" t="s">
        <v>596</v>
      </c>
      <c r="K73" s="169">
        <f>SUM(K70:K72)</f>
        <v>0</v>
      </c>
    </row>
    <row r="74" spans="10:22" x14ac:dyDescent="0.25">
      <c r="J74" s="40" t="s">
        <v>597</v>
      </c>
      <c r="K74"/>
    </row>
    <row r="75" spans="10:22" x14ac:dyDescent="0.25">
      <c r="J75" s="14" t="s">
        <v>567</v>
      </c>
      <c r="K75" s="169" t="str">
        <f>Troupeau!B3</f>
        <v>BV</v>
      </c>
      <c r="L75" t="s">
        <v>598</v>
      </c>
      <c r="R75">
        <v>0</v>
      </c>
      <c r="S75" t="s">
        <v>599</v>
      </c>
      <c r="V75" s="14" t="s">
        <v>600</v>
      </c>
    </row>
    <row r="76" spans="10:22" x14ac:dyDescent="0.25">
      <c r="J76" s="14" t="s">
        <v>601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602</v>
      </c>
    </row>
    <row r="77" spans="10:22" x14ac:dyDescent="0.25">
      <c r="J77" s="14" t="s">
        <v>603</v>
      </c>
      <c r="K77" s="80"/>
      <c r="R77">
        <v>2</v>
      </c>
      <c r="U77">
        <v>2</v>
      </c>
      <c r="V77" t="s">
        <v>604</v>
      </c>
    </row>
    <row r="78" spans="10:22" x14ac:dyDescent="0.25">
      <c r="J78" s="40" t="s">
        <v>581</v>
      </c>
      <c r="K78" s="169">
        <f>Troupeau!C3</f>
        <v>0</v>
      </c>
      <c r="L78" t="s">
        <v>605</v>
      </c>
      <c r="R78">
        <v>3</v>
      </c>
    </row>
    <row r="79" spans="10:22" x14ac:dyDescent="0.25">
      <c r="J79" s="14" t="s">
        <v>606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607</v>
      </c>
      <c r="K80" s="80"/>
      <c r="R80">
        <v>5</v>
      </c>
    </row>
    <row r="81" spans="9:21" x14ac:dyDescent="0.25">
      <c r="J81" s="40" t="s">
        <v>588</v>
      </c>
      <c r="K81" s="169">
        <f>Troupeau!D3</f>
        <v>0</v>
      </c>
      <c r="L81" t="s">
        <v>608</v>
      </c>
      <c r="U81" s="43" t="s">
        <v>609</v>
      </c>
    </row>
    <row r="82" spans="9:21" x14ac:dyDescent="0.25">
      <c r="J82" s="14" t="s">
        <v>610</v>
      </c>
      <c r="K82" s="80"/>
      <c r="L82" s="30" t="str">
        <f>IF(COUNTIF(CdTrp3!B76:Y85,4)&gt;0, "OUI", "NON")</f>
        <v>NON</v>
      </c>
      <c r="Q82" s="43" t="s">
        <v>611</v>
      </c>
      <c r="T82">
        <v>0</v>
      </c>
      <c r="U82" t="s">
        <v>612</v>
      </c>
    </row>
    <row r="83" spans="9:21" x14ac:dyDescent="0.25">
      <c r="J83" s="14" t="s">
        <v>613</v>
      </c>
      <c r="K83" s="80"/>
      <c r="P83">
        <v>1</v>
      </c>
      <c r="Q83" t="s">
        <v>614</v>
      </c>
      <c r="T83">
        <v>1</v>
      </c>
      <c r="U83" t="s">
        <v>615</v>
      </c>
    </row>
    <row r="84" spans="9:21" x14ac:dyDescent="0.25">
      <c r="J84" s="40" t="s">
        <v>600</v>
      </c>
      <c r="K84" s="171"/>
      <c r="L84" t="s">
        <v>616</v>
      </c>
      <c r="P84">
        <v>2</v>
      </c>
      <c r="Q84" t="s">
        <v>617</v>
      </c>
      <c r="T84">
        <v>2</v>
      </c>
      <c r="U84" t="s">
        <v>618</v>
      </c>
    </row>
    <row r="85" spans="9:21" x14ac:dyDescent="0.25">
      <c r="K85"/>
      <c r="Q85" s="43" t="s">
        <v>619</v>
      </c>
      <c r="U85" s="43" t="s">
        <v>620</v>
      </c>
    </row>
    <row r="86" spans="9:21" x14ac:dyDescent="0.25">
      <c r="J86" s="40" t="s">
        <v>621</v>
      </c>
      <c r="P86">
        <v>1</v>
      </c>
      <c r="Q86" t="s">
        <v>622</v>
      </c>
      <c r="T86">
        <v>1</v>
      </c>
      <c r="U86" t="s">
        <v>612</v>
      </c>
    </row>
    <row r="87" spans="9:21" x14ac:dyDescent="0.25">
      <c r="J87" s="14" t="s">
        <v>623</v>
      </c>
      <c r="K87" s="80">
        <v>5</v>
      </c>
      <c r="P87">
        <v>2</v>
      </c>
      <c r="Q87" t="s">
        <v>624</v>
      </c>
      <c r="T87">
        <v>2</v>
      </c>
      <c r="U87" t="s">
        <v>625</v>
      </c>
    </row>
    <row r="88" spans="9:21" x14ac:dyDescent="0.25">
      <c r="J88" s="14" t="s">
        <v>611</v>
      </c>
      <c r="K88" s="80"/>
      <c r="P88">
        <v>3</v>
      </c>
      <c r="Q88" t="s">
        <v>626</v>
      </c>
      <c r="T88">
        <v>3</v>
      </c>
      <c r="U88" t="s">
        <v>627</v>
      </c>
    </row>
    <row r="89" spans="9:21" x14ac:dyDescent="0.25">
      <c r="J89" s="14" t="s">
        <v>628</v>
      </c>
      <c r="K89" s="80"/>
      <c r="T89">
        <v>4</v>
      </c>
      <c r="U89" t="s">
        <v>629</v>
      </c>
    </row>
    <row r="90" spans="9:21" x14ac:dyDescent="0.25">
      <c r="J90" s="14" t="s">
        <v>628</v>
      </c>
      <c r="K90" s="80"/>
    </row>
    <row r="91" spans="9:21" x14ac:dyDescent="0.25">
      <c r="J91" s="14" t="s">
        <v>609</v>
      </c>
      <c r="K91" s="80"/>
    </row>
    <row r="92" spans="9:21" x14ac:dyDescent="0.25">
      <c r="J92"/>
      <c r="K92"/>
    </row>
    <row r="93" spans="9:21" x14ac:dyDescent="0.25">
      <c r="J93" s="14" t="s">
        <v>630</v>
      </c>
      <c r="K93" s="80"/>
    </row>
    <row r="94" spans="9:21" x14ac:dyDescent="0.25">
      <c r="J94" s="14" t="s">
        <v>631</v>
      </c>
      <c r="K94" s="80"/>
      <c r="L94" t="s">
        <v>632</v>
      </c>
    </row>
    <row r="95" spans="9:21" x14ac:dyDescent="0.25">
      <c r="J95" s="14" t="s">
        <v>633</v>
      </c>
      <c r="L95" t="s">
        <v>634</v>
      </c>
      <c r="Q95" t="s">
        <v>635</v>
      </c>
    </row>
    <row r="96" spans="9:21" x14ac:dyDescent="0.25">
      <c r="I96" t="s">
        <v>636</v>
      </c>
      <c r="J96" s="14" t="s">
        <v>226</v>
      </c>
      <c r="K96" s="80" t="s">
        <v>637</v>
      </c>
      <c r="L96" s="30" t="str">
        <f>CdTrp1!A15</f>
        <v>Vaches suitées au pâturage</v>
      </c>
      <c r="Q96" t="s">
        <v>637</v>
      </c>
    </row>
    <row r="97" spans="9:17" x14ac:dyDescent="0.25">
      <c r="J97" s="14" t="s">
        <v>155</v>
      </c>
      <c r="K97" s="80" t="s">
        <v>637</v>
      </c>
      <c r="L97" s="30" t="str">
        <f>CdTrp1!A16</f>
        <v xml:space="preserve">Vaches lot principal </v>
      </c>
      <c r="Q97" t="s">
        <v>638</v>
      </c>
    </row>
    <row r="98" spans="9:17" x14ac:dyDescent="0.25">
      <c r="J98" s="14" t="s">
        <v>156</v>
      </c>
      <c r="K98" s="80" t="s">
        <v>638</v>
      </c>
      <c r="L98" s="30" t="str">
        <f>CdTrp1!A17</f>
        <v>Génisses renouvellement</v>
      </c>
    </row>
    <row r="99" spans="9:17" x14ac:dyDescent="0.25">
      <c r="J99" s="14" t="s">
        <v>157</v>
      </c>
      <c r="K99" s="80" t="s">
        <v>638</v>
      </c>
      <c r="L99" s="30" t="str">
        <f>CdTrp1!A18</f>
        <v>génisses 2/3 ans</v>
      </c>
    </row>
    <row r="100" spans="9:17" x14ac:dyDescent="0.25">
      <c r="J100" s="14" t="s">
        <v>158</v>
      </c>
      <c r="K100" s="80" t="s">
        <v>638</v>
      </c>
      <c r="L100" s="30" t="str">
        <f>CdTrp1!A19</f>
        <v>tardive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639</v>
      </c>
      <c r="J106" s="14" t="s">
        <v>226</v>
      </c>
      <c r="K106" s="80"/>
      <c r="L106" s="30" t="str">
        <f>CdTrp2!A15</f>
        <v>lot1</v>
      </c>
    </row>
    <row r="107" spans="9:17" x14ac:dyDescent="0.25">
      <c r="J107" s="14" t="s">
        <v>155</v>
      </c>
      <c r="K107" s="80"/>
      <c r="L107" s="30" t="str">
        <f>CdTrp2!A16</f>
        <v>lot2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640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641</v>
      </c>
      <c r="K127" s="80"/>
      <c r="L127" t="s">
        <v>642</v>
      </c>
    </row>
    <row r="128" spans="9:12" x14ac:dyDescent="0.25">
      <c r="K128"/>
    </row>
    <row r="129" spans="10:15" x14ac:dyDescent="0.25">
      <c r="J129" s="14" t="s">
        <v>643</v>
      </c>
      <c r="K129" s="80"/>
      <c r="L129" t="s">
        <v>644</v>
      </c>
      <c r="N129">
        <v>0</v>
      </c>
      <c r="O129" t="s">
        <v>645</v>
      </c>
    </row>
    <row r="130" spans="10:15" x14ac:dyDescent="0.25">
      <c r="J130"/>
      <c r="K130"/>
      <c r="N130">
        <v>1</v>
      </c>
      <c r="O130" t="s">
        <v>646</v>
      </c>
    </row>
    <row r="161" spans="17:41" x14ac:dyDescent="0.25">
      <c r="R161" s="2" t="s">
        <v>647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648</v>
      </c>
      <c r="U163" t="s">
        <v>649</v>
      </c>
      <c r="V163" s="167" t="s">
        <v>650</v>
      </c>
      <c r="W163" s="167" t="s">
        <v>651</v>
      </c>
      <c r="X163" s="168" t="s">
        <v>652</v>
      </c>
      <c r="Y163" s="168" t="s">
        <v>653</v>
      </c>
      <c r="Z163" s="168" t="s">
        <v>654</v>
      </c>
      <c r="AA163" s="168" t="s">
        <v>655</v>
      </c>
      <c r="AB163" s="168" t="s">
        <v>656</v>
      </c>
      <c r="AC163" s="168" t="s">
        <v>657</v>
      </c>
      <c r="AD163" s="168" t="s">
        <v>658</v>
      </c>
      <c r="AE163" s="168" t="s">
        <v>659</v>
      </c>
      <c r="AF163" s="168" t="s">
        <v>660</v>
      </c>
      <c r="AG163" s="168" t="s">
        <v>661</v>
      </c>
      <c r="AH163" s="168" t="s">
        <v>662</v>
      </c>
      <c r="AI163" s="168" t="s">
        <v>663</v>
      </c>
      <c r="AJ163" s="168" t="s">
        <v>664</v>
      </c>
      <c r="AL163" s="5"/>
    </row>
    <row r="164" spans="17:41" x14ac:dyDescent="0.25">
      <c r="Q164">
        <v>1</v>
      </c>
      <c r="R164" s="169">
        <f>'Alim -Surf'!Q7</f>
        <v>15</v>
      </c>
      <c r="S164" s="169">
        <f>'Alim -Surf'!R7</f>
        <v>1</v>
      </c>
      <c r="T164" s="169">
        <f>VLOOKUP($R164,[1]MEP!$A$4:$M$300,13)</f>
        <v>2</v>
      </c>
      <c r="U164" s="169">
        <f>IF($T164&gt;0,$S164,0)</f>
        <v>1</v>
      </c>
      <c r="V164" s="169">
        <f>IF($T164&gt;1,$S164,0)</f>
        <v>1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1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1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15</v>
      </c>
      <c r="S165" s="169">
        <f>'Alim -Surf'!R8</f>
        <v>2</v>
      </c>
      <c r="T165" s="169">
        <f>VLOOKUP(R165,[1]MEP!$A$4:$M$300,13)</f>
        <v>2</v>
      </c>
      <c r="U165" s="169">
        <f t="shared" ref="U165:U207" si="10">IF($T165&gt;0,$S165,0)</f>
        <v>2</v>
      </c>
      <c r="V165" s="169">
        <f t="shared" ref="V165:V207" si="11">IF($T165&gt;1,$S165,0)</f>
        <v>2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2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0</v>
      </c>
      <c r="AI165" s="169">
        <f t="shared" ref="AI165:AI207" si="19">IF(T165=1,AD165,0)</f>
        <v>0</v>
      </c>
      <c r="AJ165" s="169">
        <f t="shared" ref="AJ165:AJ207" si="20">IF(T165&gt;1,AD165,0)</f>
        <v>2</v>
      </c>
      <c r="AL165" s="5"/>
      <c r="AN165" s="32" t="s">
        <v>665</v>
      </c>
      <c r="AO165" s="169">
        <f>SUM(AD164:AD183)</f>
        <v>7.5</v>
      </c>
    </row>
    <row r="166" spans="17:41" x14ac:dyDescent="0.25">
      <c r="Q166">
        <v>3</v>
      </c>
      <c r="R166" s="169">
        <f>'Alim -Surf'!Q9</f>
        <v>204</v>
      </c>
      <c r="S166" s="169">
        <f>'Alim -Surf'!R9</f>
        <v>0.6</v>
      </c>
      <c r="T166" s="169">
        <f>VLOOKUP(R166,[1]MEP!$A$4:$M$300,13)</f>
        <v>2</v>
      </c>
      <c r="U166" s="169">
        <f t="shared" si="10"/>
        <v>0.6</v>
      </c>
      <c r="V166" s="169">
        <f t="shared" si="11"/>
        <v>0.6</v>
      </c>
      <c r="W166" s="169">
        <f t="shared" si="12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1</v>
      </c>
      <c r="AA166" s="169">
        <f t="shared" si="8"/>
        <v>0</v>
      </c>
      <c r="AB166" s="169">
        <f t="shared" si="9"/>
        <v>0</v>
      </c>
      <c r="AC166" s="169">
        <f t="shared" si="13"/>
        <v>0.6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0.6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666</v>
      </c>
      <c r="AO166" s="169">
        <f>SUM(AC164:AC183)</f>
        <v>0.6</v>
      </c>
    </row>
    <row r="167" spans="17:41" x14ac:dyDescent="0.25">
      <c r="Q167">
        <v>4</v>
      </c>
      <c r="R167" s="169">
        <f>'Alim -Surf'!Q10</f>
        <v>273</v>
      </c>
      <c r="S167" s="169">
        <f>'Alim -Surf'!R10</f>
        <v>3</v>
      </c>
      <c r="T167" s="169">
        <f>VLOOKUP(R167,[1]MEP!$A$4:$M$300,13)</f>
        <v>3</v>
      </c>
      <c r="U167" s="169">
        <f t="shared" si="10"/>
        <v>3</v>
      </c>
      <c r="V167" s="169">
        <f t="shared" si="11"/>
        <v>3</v>
      </c>
      <c r="W167" s="169">
        <f t="shared" si="12"/>
        <v>3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3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0</v>
      </c>
      <c r="AJ167" s="169">
        <f t="shared" si="20"/>
        <v>3</v>
      </c>
      <c r="AL167" s="5"/>
      <c r="AN167" s="32" t="s">
        <v>667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15</v>
      </c>
      <c r="S168" s="169">
        <f>'Alim -Surf'!R11</f>
        <v>0.5</v>
      </c>
      <c r="T168" s="169">
        <f>VLOOKUP(R168,[1]MEP!$A$4:$M$300,13)</f>
        <v>2</v>
      </c>
      <c r="U168" s="169">
        <f t="shared" si="10"/>
        <v>0.5</v>
      </c>
      <c r="V168" s="169">
        <f t="shared" si="11"/>
        <v>0.5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0.5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0.5</v>
      </c>
      <c r="AL168" s="5"/>
      <c r="AN168" s="32" t="s">
        <v>668</v>
      </c>
      <c r="AO168" s="169">
        <f>SUM(AD186:AD205)</f>
        <v>9.5</v>
      </c>
    </row>
    <row r="169" spans="17:41" x14ac:dyDescent="0.25">
      <c r="Q169">
        <v>6</v>
      </c>
      <c r="R169" s="169">
        <f>'Alim -Surf'!Q12</f>
        <v>274</v>
      </c>
      <c r="S169" s="169">
        <f>'Alim -Surf'!R12</f>
        <v>1</v>
      </c>
      <c r="T169" s="169">
        <f>VLOOKUP(R169,[1]MEP!$A$4:$M$300,13)</f>
        <v>3</v>
      </c>
      <c r="U169" s="169">
        <f t="shared" si="10"/>
        <v>1</v>
      </c>
      <c r="V169" s="169">
        <f t="shared" si="11"/>
        <v>1</v>
      </c>
      <c r="W169" s="169">
        <f t="shared" si="12"/>
        <v>1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1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1</v>
      </c>
      <c r="AL169" s="5"/>
      <c r="AN169" s="32" t="s">
        <v>669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671</v>
      </c>
      <c r="AO171" s="169">
        <f>'Alim -Surf'!O51</f>
        <v>9.6999999999999993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15</v>
      </c>
      <c r="S186" s="169">
        <f>'Alim -Surf'!R29</f>
        <v>4.5</v>
      </c>
      <c r="T186" s="169">
        <f>VLOOKUP(R186,[1]MEP!$A$4:$M$300,13)</f>
        <v>2</v>
      </c>
      <c r="U186" s="169">
        <f t="shared" si="10"/>
        <v>4.5</v>
      </c>
      <c r="V186" s="169">
        <f t="shared" si="11"/>
        <v>4.5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4.5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4.5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15</v>
      </c>
      <c r="S188" s="169">
        <f>'Alim -Surf'!R31</f>
        <v>3</v>
      </c>
      <c r="T188" s="169">
        <f>VLOOKUP(R188,[1]MEP!$A$4:$M$300,13)</f>
        <v>2</v>
      </c>
      <c r="U188" s="169">
        <f t="shared" si="10"/>
        <v>3</v>
      </c>
      <c r="V188" s="169">
        <f t="shared" si="11"/>
        <v>3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3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3</v>
      </c>
      <c r="AL188" s="5"/>
    </row>
    <row r="189" spans="17:38" x14ac:dyDescent="0.25">
      <c r="Q189">
        <v>4</v>
      </c>
      <c r="R189" s="169">
        <f>'Alim -Surf'!Q32</f>
        <v>15</v>
      </c>
      <c r="S189" s="169">
        <f>'Alim -Surf'!R32</f>
        <v>2</v>
      </c>
      <c r="T189" s="169">
        <f>VLOOKUP(R189,[1]MEP!$A$4:$M$300,13)</f>
        <v>2</v>
      </c>
      <c r="U189" s="169">
        <f t="shared" si="10"/>
        <v>2</v>
      </c>
      <c r="V189" s="169">
        <f t="shared" si="11"/>
        <v>2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2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2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672</v>
      </c>
      <c r="R228" s="2"/>
      <c r="S228" s="62">
        <f t="shared" ref="S228" si="21">SUM(S164:S227)</f>
        <v>17.600000000000001</v>
      </c>
      <c r="U228" s="62">
        <f>SUM(U164:U227)</f>
        <v>17.600000000000001</v>
      </c>
      <c r="V228" s="62">
        <f t="shared" ref="V228:W228" si="22">SUM(V164:V227)</f>
        <v>17.600000000000001</v>
      </c>
      <c r="W228" s="62">
        <f t="shared" si="22"/>
        <v>4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0.6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0.6</v>
      </c>
      <c r="AH228" s="62">
        <f t="shared" si="24"/>
        <v>0</v>
      </c>
      <c r="AI228" s="62">
        <f t="shared" si="24"/>
        <v>0</v>
      </c>
      <c r="AJ228" s="62">
        <f t="shared" si="24"/>
        <v>17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673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674</v>
      </c>
      <c r="BJ1" t="s">
        <v>675</v>
      </c>
    </row>
    <row r="2" spans="1:64" x14ac:dyDescent="0.25">
      <c r="A2" s="14" t="s">
        <v>676</v>
      </c>
      <c r="B2" t="s">
        <v>567</v>
      </c>
      <c r="C2" s="173">
        <f>SUM(C3:C4)</f>
        <v>0</v>
      </c>
      <c r="D2" s="173">
        <f t="shared" ref="D2:Z2" si="0">SUM(D3:D4)</f>
        <v>0</v>
      </c>
      <c r="E2" s="173">
        <f t="shared" si="0"/>
        <v>0</v>
      </c>
      <c r="F2" s="173">
        <f t="shared" si="0"/>
        <v>0</v>
      </c>
      <c r="G2" s="173">
        <f t="shared" si="0"/>
        <v>0</v>
      </c>
      <c r="H2" s="173">
        <f t="shared" si="0"/>
        <v>0</v>
      </c>
      <c r="I2" s="173">
        <f t="shared" si="0"/>
        <v>0</v>
      </c>
      <c r="J2" s="173">
        <f t="shared" si="0"/>
        <v>0</v>
      </c>
      <c r="K2" s="173">
        <f t="shared" si="0"/>
        <v>0</v>
      </c>
      <c r="L2" s="173">
        <f t="shared" si="0"/>
        <v>0</v>
      </c>
      <c r="M2" s="173">
        <f t="shared" si="0"/>
        <v>0</v>
      </c>
      <c r="N2" s="173">
        <f t="shared" si="0"/>
        <v>0</v>
      </c>
      <c r="O2" s="173">
        <f t="shared" si="0"/>
        <v>0</v>
      </c>
      <c r="P2" s="173">
        <f t="shared" si="0"/>
        <v>0</v>
      </c>
      <c r="Q2" s="173">
        <f t="shared" si="0"/>
        <v>0</v>
      </c>
      <c r="R2" s="173">
        <f t="shared" si="0"/>
        <v>0</v>
      </c>
      <c r="S2" s="173">
        <f t="shared" si="0"/>
        <v>0</v>
      </c>
      <c r="T2" s="173">
        <f t="shared" si="0"/>
        <v>0</v>
      </c>
      <c r="U2" s="173">
        <f t="shared" si="0"/>
        <v>0</v>
      </c>
      <c r="V2" s="173">
        <f t="shared" si="0"/>
        <v>0</v>
      </c>
      <c r="W2" s="173">
        <f t="shared" si="0"/>
        <v>0</v>
      </c>
      <c r="X2" s="173">
        <f t="shared" si="0"/>
        <v>0</v>
      </c>
      <c r="Y2" s="173">
        <f t="shared" si="0"/>
        <v>0</v>
      </c>
      <c r="Z2" s="173">
        <f t="shared" si="0"/>
        <v>0</v>
      </c>
      <c r="AH2" s="167"/>
      <c r="AP2" t="s">
        <v>677</v>
      </c>
      <c r="AQ2" t="s">
        <v>678</v>
      </c>
      <c r="AV2" t="s">
        <v>679</v>
      </c>
      <c r="AW2" t="s">
        <v>34</v>
      </c>
      <c r="AX2" t="s">
        <v>446</v>
      </c>
      <c r="AY2" t="s">
        <v>75</v>
      </c>
      <c r="AZ2" t="s">
        <v>18</v>
      </c>
      <c r="BA2" t="s">
        <v>680</v>
      </c>
      <c r="BB2" t="s">
        <v>681</v>
      </c>
      <c r="BC2" t="s">
        <v>682</v>
      </c>
      <c r="BD2" t="s">
        <v>683</v>
      </c>
      <c r="BE2" t="s">
        <v>684</v>
      </c>
      <c r="BF2" t="s">
        <v>685</v>
      </c>
      <c r="BG2" s="167" t="s">
        <v>219</v>
      </c>
      <c r="BH2" s="167" t="s">
        <v>217</v>
      </c>
      <c r="BI2" s="167" t="s">
        <v>218</v>
      </c>
      <c r="BJ2" s="167" t="s">
        <v>219</v>
      </c>
      <c r="BK2" s="167" t="s">
        <v>217</v>
      </c>
      <c r="BL2" s="167" t="s">
        <v>218</v>
      </c>
    </row>
    <row r="3" spans="1:64" x14ac:dyDescent="0.25">
      <c r="A3" s="14" t="s">
        <v>686</v>
      </c>
      <c r="B3" t="s">
        <v>567</v>
      </c>
      <c r="C3" s="173">
        <f t="shared" ref="C3:Z3" si="1">COUNTIF(C81:C90,1)</f>
        <v>0</v>
      </c>
      <c r="D3" s="173">
        <f t="shared" si="1"/>
        <v>0</v>
      </c>
      <c r="E3" s="173">
        <f t="shared" si="1"/>
        <v>0</v>
      </c>
      <c r="F3" s="173">
        <f t="shared" si="1"/>
        <v>0</v>
      </c>
      <c r="G3" s="173">
        <f t="shared" si="1"/>
        <v>0</v>
      </c>
      <c r="H3" s="173">
        <f t="shared" si="1"/>
        <v>0</v>
      </c>
      <c r="I3" s="173">
        <f t="shared" si="1"/>
        <v>0</v>
      </c>
      <c r="J3" s="173">
        <f t="shared" si="1"/>
        <v>0</v>
      </c>
      <c r="K3" s="173">
        <f t="shared" si="1"/>
        <v>0</v>
      </c>
      <c r="L3" s="173">
        <f t="shared" si="1"/>
        <v>0</v>
      </c>
      <c r="M3" s="173">
        <f t="shared" si="1"/>
        <v>0</v>
      </c>
      <c r="N3" s="173">
        <f t="shared" si="1"/>
        <v>0</v>
      </c>
      <c r="O3" s="173">
        <f t="shared" si="1"/>
        <v>0</v>
      </c>
      <c r="P3" s="173">
        <f t="shared" si="1"/>
        <v>0</v>
      </c>
      <c r="Q3" s="173">
        <f t="shared" si="1"/>
        <v>0</v>
      </c>
      <c r="R3" s="173">
        <f t="shared" si="1"/>
        <v>0</v>
      </c>
      <c r="S3" s="173">
        <f t="shared" si="1"/>
        <v>0</v>
      </c>
      <c r="T3" s="173">
        <f t="shared" si="1"/>
        <v>0</v>
      </c>
      <c r="U3" s="173">
        <f t="shared" si="1"/>
        <v>0</v>
      </c>
      <c r="V3" s="173">
        <f t="shared" si="1"/>
        <v>0</v>
      </c>
      <c r="W3" s="173">
        <f t="shared" si="1"/>
        <v>0</v>
      </c>
      <c r="X3" s="173">
        <f t="shared" si="1"/>
        <v>0</v>
      </c>
      <c r="Y3" s="173">
        <f t="shared" si="1"/>
        <v>0</v>
      </c>
      <c r="Z3" s="173">
        <f t="shared" si="1"/>
        <v>0</v>
      </c>
      <c r="AO3" s="14" t="s">
        <v>687</v>
      </c>
      <c r="AP3" s="30">
        <f>BG31</f>
        <v>992</v>
      </c>
      <c r="AQ3">
        <f>BJ31</f>
        <v>5.2700000000000005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13</v>
      </c>
      <c r="AZ3" s="30">
        <f>Parcellaire!G2</f>
        <v>0.56000000000000005</v>
      </c>
      <c r="BA3" s="30">
        <f>ROUND(Parcellaire!R2,0)</f>
        <v>0</v>
      </c>
      <c r="BB3" s="30">
        <f>ROUND(Parcellaire!S2,0)</f>
        <v>212</v>
      </c>
      <c r="BC3" s="30">
        <f>ROUND(Parcellaire!T2,0)</f>
        <v>212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212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0.56000000000000005</v>
      </c>
      <c r="BL3" s="169">
        <f>IF($AW3&gt;0,IF(AND($BF3="PE",$AW3=1),$AZ3,0),0)</f>
        <v>0</v>
      </c>
    </row>
    <row r="4" spans="1:64" x14ac:dyDescent="0.25">
      <c r="A4" s="14" t="s">
        <v>688</v>
      </c>
      <c r="B4" t="s">
        <v>567</v>
      </c>
      <c r="C4" s="173">
        <f>COUNTIF(C81:C90,2)</f>
        <v>0</v>
      </c>
      <c r="D4" s="173">
        <f t="shared" ref="D4:Z4" si="2">COUNTIF(D81:D90,2)</f>
        <v>0</v>
      </c>
      <c r="E4" s="173">
        <f t="shared" si="2"/>
        <v>0</v>
      </c>
      <c r="F4" s="173">
        <f t="shared" si="2"/>
        <v>0</v>
      </c>
      <c r="G4" s="173">
        <f t="shared" si="2"/>
        <v>0</v>
      </c>
      <c r="H4" s="173">
        <f t="shared" si="2"/>
        <v>0</v>
      </c>
      <c r="I4" s="173">
        <f t="shared" si="2"/>
        <v>0</v>
      </c>
      <c r="J4" s="173">
        <f t="shared" si="2"/>
        <v>0</v>
      </c>
      <c r="K4" s="173">
        <f t="shared" si="2"/>
        <v>0</v>
      </c>
      <c r="L4" s="173">
        <f t="shared" si="2"/>
        <v>0</v>
      </c>
      <c r="M4" s="173">
        <f t="shared" si="2"/>
        <v>0</v>
      </c>
      <c r="N4" s="173">
        <f t="shared" si="2"/>
        <v>0</v>
      </c>
      <c r="O4" s="173">
        <f t="shared" si="2"/>
        <v>0</v>
      </c>
      <c r="P4" s="173">
        <f t="shared" si="2"/>
        <v>0</v>
      </c>
      <c r="Q4" s="173">
        <f t="shared" si="2"/>
        <v>0</v>
      </c>
      <c r="R4" s="173">
        <f t="shared" si="2"/>
        <v>0</v>
      </c>
      <c r="S4" s="173">
        <f t="shared" si="2"/>
        <v>0</v>
      </c>
      <c r="T4" s="173">
        <f t="shared" si="2"/>
        <v>0</v>
      </c>
      <c r="U4" s="173">
        <f t="shared" si="2"/>
        <v>0</v>
      </c>
      <c r="V4" s="173">
        <f t="shared" si="2"/>
        <v>0</v>
      </c>
      <c r="W4" s="173">
        <f t="shared" si="2"/>
        <v>0</v>
      </c>
      <c r="X4" s="173">
        <f t="shared" si="2"/>
        <v>0</v>
      </c>
      <c r="Y4" s="173">
        <f t="shared" si="2"/>
        <v>0</v>
      </c>
      <c r="Z4" s="173">
        <f t="shared" si="2"/>
        <v>0</v>
      </c>
      <c r="AO4" s="14" t="s">
        <v>689</v>
      </c>
      <c r="AP4" s="30">
        <f>SUM(BG31:BI31)</f>
        <v>5306</v>
      </c>
      <c r="AQ4">
        <f>SUM(BJ31:BL31)</f>
        <v>29.72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13</v>
      </c>
      <c r="AZ4" s="30">
        <f>Parcellaire!G3</f>
        <v>3.23</v>
      </c>
      <c r="BA4" s="30">
        <f>ROUND(Parcellaire!R3,0)</f>
        <v>0</v>
      </c>
      <c r="BB4" s="30">
        <f>ROUND(Parcellaire!S3,0)</f>
        <v>666</v>
      </c>
      <c r="BC4" s="30">
        <f>ROUND(Parcellaire!T3,0)</f>
        <v>267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69">
        <f t="shared" ref="BG4:BG30" si="4">IF($AW4&gt;0,IF(AND($BF4="LP",$AW4=1),$BB4,0),0)</f>
        <v>0</v>
      </c>
      <c r="BH4" s="169">
        <f t="shared" ref="BH4:BH30" si="5">IF($AW4&gt;0,IF(AND($BF4="PF",$AW4=1),$BB4,0),0)</f>
        <v>666</v>
      </c>
      <c r="BI4" s="169">
        <f t="shared" ref="BI4:BI30" si="6">IF($AW4&gt;0,IF(AND($BF4="PE",$AW4=1),$BB4,0),0)</f>
        <v>0</v>
      </c>
      <c r="BJ4" s="169">
        <f t="shared" ref="BJ4:BJ30" si="7">IF($AW4&gt;0,IF(AND($BF4="LP",$AW4=1),$AZ4,0),0)</f>
        <v>0</v>
      </c>
      <c r="BK4" s="169">
        <f t="shared" ref="BK4:BK30" si="8">IF($AW4&gt;0,IF(AND($BF4="PF",$AW4=1),$AZ4,0),0)</f>
        <v>3.23</v>
      </c>
      <c r="BL4" s="169">
        <f t="shared" ref="BL4:BL30" si="9">IF($AW4&gt;0,IF(AND($BF4="PE",$AW4=1),$AZ4,0),0)</f>
        <v>0</v>
      </c>
    </row>
    <row r="5" spans="1:64" x14ac:dyDescent="0.25">
      <c r="A5" s="14" t="s">
        <v>690</v>
      </c>
      <c r="B5" t="s">
        <v>567</v>
      </c>
      <c r="C5" s="173">
        <f t="shared" ref="C5:Z5" si="10">COUNTIF(C81:C90,3)</f>
        <v>0</v>
      </c>
      <c r="D5" s="173">
        <f t="shared" si="10"/>
        <v>0</v>
      </c>
      <c r="E5" s="173">
        <f t="shared" si="10"/>
        <v>0</v>
      </c>
      <c r="F5" s="173">
        <f t="shared" si="10"/>
        <v>0</v>
      </c>
      <c r="G5" s="173">
        <f t="shared" si="10"/>
        <v>0</v>
      </c>
      <c r="H5" s="173">
        <f t="shared" si="10"/>
        <v>0</v>
      </c>
      <c r="I5" s="173">
        <f t="shared" si="10"/>
        <v>0</v>
      </c>
      <c r="J5" s="173">
        <f t="shared" si="10"/>
        <v>0</v>
      </c>
      <c r="K5" s="173">
        <f t="shared" si="10"/>
        <v>0</v>
      </c>
      <c r="L5" s="173">
        <f t="shared" si="10"/>
        <v>0</v>
      </c>
      <c r="M5" s="173">
        <f t="shared" si="10"/>
        <v>0</v>
      </c>
      <c r="N5" s="173">
        <f t="shared" si="10"/>
        <v>0</v>
      </c>
      <c r="O5" s="173">
        <f t="shared" si="10"/>
        <v>0</v>
      </c>
      <c r="P5" s="173">
        <f t="shared" si="10"/>
        <v>0</v>
      </c>
      <c r="Q5" s="173">
        <f t="shared" si="10"/>
        <v>0</v>
      </c>
      <c r="R5" s="173">
        <f t="shared" si="10"/>
        <v>0</v>
      </c>
      <c r="S5" s="173">
        <f t="shared" si="10"/>
        <v>0</v>
      </c>
      <c r="T5" s="173">
        <f t="shared" si="10"/>
        <v>0</v>
      </c>
      <c r="U5" s="173">
        <f t="shared" si="10"/>
        <v>0</v>
      </c>
      <c r="V5" s="173">
        <f t="shared" si="10"/>
        <v>0</v>
      </c>
      <c r="W5" s="173">
        <f t="shared" si="10"/>
        <v>0</v>
      </c>
      <c r="X5" s="173">
        <f t="shared" si="10"/>
        <v>0</v>
      </c>
      <c r="Y5" s="173">
        <f t="shared" si="10"/>
        <v>0</v>
      </c>
      <c r="Z5" s="173">
        <f t="shared" si="10"/>
        <v>0</v>
      </c>
      <c r="AI5" s="40" t="s">
        <v>691</v>
      </c>
      <c r="AJ5" s="30">
        <f>MAX(C203:Z203)</f>
        <v>0</v>
      </c>
      <c r="AO5" s="14" t="s">
        <v>692</v>
      </c>
      <c r="AP5" s="30">
        <f>BI31</f>
        <v>1462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13</v>
      </c>
      <c r="AZ5" s="30">
        <f>Parcellaire!G4</f>
        <v>0.76</v>
      </c>
      <c r="BA5" s="30">
        <f>ROUND(Parcellaire!R4,0)</f>
        <v>0</v>
      </c>
      <c r="BB5" s="30">
        <f>ROUND(Parcellaire!S4,0)</f>
        <v>226</v>
      </c>
      <c r="BC5" s="30">
        <f>ROUND(Parcellaire!T4,0)</f>
        <v>323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69">
        <f t="shared" si="4"/>
        <v>0</v>
      </c>
      <c r="BH5" s="169">
        <f t="shared" si="5"/>
        <v>226</v>
      </c>
      <c r="BI5" s="169">
        <f t="shared" si="6"/>
        <v>0</v>
      </c>
      <c r="BJ5" s="169">
        <f t="shared" si="7"/>
        <v>0</v>
      </c>
      <c r="BK5" s="169">
        <f t="shared" si="8"/>
        <v>0.76</v>
      </c>
      <c r="BL5" s="169">
        <f t="shared" si="9"/>
        <v>0</v>
      </c>
    </row>
    <row r="6" spans="1:64" x14ac:dyDescent="0.25">
      <c r="A6" s="14" t="s">
        <v>693</v>
      </c>
      <c r="B6" t="s">
        <v>567</v>
      </c>
      <c r="C6" s="173">
        <f t="shared" ref="C6:Z6" si="11">C19</f>
        <v>0</v>
      </c>
      <c r="D6" s="173">
        <f t="shared" si="11"/>
        <v>0</v>
      </c>
      <c r="E6" s="173">
        <f t="shared" si="11"/>
        <v>0</v>
      </c>
      <c r="F6" s="173">
        <f t="shared" si="11"/>
        <v>0</v>
      </c>
      <c r="G6" s="173">
        <f t="shared" si="11"/>
        <v>0</v>
      </c>
      <c r="H6" s="173">
        <f t="shared" si="11"/>
        <v>0</v>
      </c>
      <c r="I6" s="173">
        <f t="shared" si="11"/>
        <v>0</v>
      </c>
      <c r="J6" s="173">
        <f t="shared" si="11"/>
        <v>0</v>
      </c>
      <c r="K6" s="173">
        <f t="shared" si="11"/>
        <v>0</v>
      </c>
      <c r="L6" s="173">
        <f t="shared" si="11"/>
        <v>0</v>
      </c>
      <c r="M6" s="173">
        <f t="shared" si="11"/>
        <v>0</v>
      </c>
      <c r="N6" s="173">
        <f t="shared" si="11"/>
        <v>0</v>
      </c>
      <c r="O6" s="173">
        <f t="shared" si="11"/>
        <v>0</v>
      </c>
      <c r="P6" s="173">
        <f t="shared" si="11"/>
        <v>0</v>
      </c>
      <c r="Q6" s="173">
        <f t="shared" si="11"/>
        <v>0</v>
      </c>
      <c r="R6" s="173">
        <f t="shared" si="11"/>
        <v>0</v>
      </c>
      <c r="S6" s="173">
        <f t="shared" si="11"/>
        <v>0</v>
      </c>
      <c r="T6" s="173">
        <f t="shared" si="11"/>
        <v>0</v>
      </c>
      <c r="U6" s="173">
        <f t="shared" si="11"/>
        <v>0</v>
      </c>
      <c r="V6" s="173">
        <f t="shared" si="11"/>
        <v>0</v>
      </c>
      <c r="W6" s="173">
        <f t="shared" si="11"/>
        <v>0</v>
      </c>
      <c r="X6" s="173">
        <f t="shared" si="11"/>
        <v>0</v>
      </c>
      <c r="Y6" s="173">
        <f t="shared" si="11"/>
        <v>0</v>
      </c>
      <c r="Z6" s="173">
        <f t="shared" si="11"/>
        <v>0</v>
      </c>
      <c r="AO6" s="14" t="s">
        <v>694</v>
      </c>
      <c r="AP6" s="30">
        <f>BH31</f>
        <v>2852</v>
      </c>
      <c r="AQ6">
        <f>BK31</f>
        <v>10.709999999999999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13</v>
      </c>
      <c r="AZ6" s="30">
        <f>Parcellaire!G5</f>
        <v>0.45</v>
      </c>
      <c r="BA6" s="30">
        <f>ROUND(Parcellaire!R5,0)</f>
        <v>0</v>
      </c>
      <c r="BB6" s="30">
        <f>ROUND(Parcellaire!S5,0)</f>
        <v>166</v>
      </c>
      <c r="BC6" s="30">
        <f>ROUND(Parcellaire!T5,0)</f>
        <v>237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9">
        <f t="shared" si="4"/>
        <v>0</v>
      </c>
      <c r="BH6" s="169">
        <f t="shared" si="5"/>
        <v>166</v>
      </c>
      <c r="BI6" s="169">
        <f t="shared" si="6"/>
        <v>0</v>
      </c>
      <c r="BJ6" s="169">
        <f t="shared" si="7"/>
        <v>0</v>
      </c>
      <c r="BK6" s="169">
        <f t="shared" si="8"/>
        <v>0.45</v>
      </c>
      <c r="BL6" s="169">
        <f t="shared" si="9"/>
        <v>0</v>
      </c>
    </row>
    <row r="7" spans="1:64" x14ac:dyDescent="0.25">
      <c r="A7" s="14" t="s">
        <v>695</v>
      </c>
      <c r="B7" t="s">
        <v>567</v>
      </c>
      <c r="C7" s="173">
        <f t="shared" ref="C7:Z7" si="12">C21</f>
        <v>0</v>
      </c>
      <c r="D7" s="173">
        <f t="shared" si="12"/>
        <v>0</v>
      </c>
      <c r="E7" s="173">
        <f t="shared" si="12"/>
        <v>0</v>
      </c>
      <c r="F7" s="173">
        <f t="shared" si="12"/>
        <v>0</v>
      </c>
      <c r="G7" s="173">
        <f t="shared" si="12"/>
        <v>0</v>
      </c>
      <c r="H7" s="173">
        <f t="shared" si="12"/>
        <v>0</v>
      </c>
      <c r="I7" s="173">
        <f t="shared" si="12"/>
        <v>0</v>
      </c>
      <c r="J7" s="173">
        <f t="shared" si="12"/>
        <v>0</v>
      </c>
      <c r="K7" s="173">
        <f t="shared" si="12"/>
        <v>0</v>
      </c>
      <c r="L7" s="173">
        <f t="shared" si="12"/>
        <v>0</v>
      </c>
      <c r="M7" s="173">
        <f t="shared" si="12"/>
        <v>0</v>
      </c>
      <c r="N7" s="173">
        <f t="shared" si="12"/>
        <v>0</v>
      </c>
      <c r="O7" s="173">
        <f t="shared" si="12"/>
        <v>0</v>
      </c>
      <c r="P7" s="173">
        <f t="shared" si="12"/>
        <v>0</v>
      </c>
      <c r="Q7" s="173">
        <f t="shared" si="12"/>
        <v>0</v>
      </c>
      <c r="R7" s="173">
        <f t="shared" si="12"/>
        <v>0</v>
      </c>
      <c r="S7" s="173">
        <f t="shared" si="12"/>
        <v>0</v>
      </c>
      <c r="T7" s="173">
        <f t="shared" si="12"/>
        <v>0</v>
      </c>
      <c r="U7" s="173">
        <f t="shared" si="12"/>
        <v>0</v>
      </c>
      <c r="V7" s="173">
        <f t="shared" si="12"/>
        <v>0</v>
      </c>
      <c r="W7" s="173">
        <f t="shared" si="12"/>
        <v>0</v>
      </c>
      <c r="X7" s="173">
        <f t="shared" si="12"/>
        <v>0</v>
      </c>
      <c r="Y7" s="173">
        <f t="shared" si="12"/>
        <v>0</v>
      </c>
      <c r="Z7" s="173">
        <f t="shared" si="12"/>
        <v>0</v>
      </c>
      <c r="AO7" s="14" t="s">
        <v>696</v>
      </c>
      <c r="AP7" s="30">
        <f>Scénario!K73*[1]Protect!$F$60</f>
        <v>0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ROUND(Parcellaire!R6,0)</f>
        <v>0</v>
      </c>
      <c r="BB7" s="30" t="e">
        <f>ROUND(Parcellaire!S6,0)</f>
        <v>#VALUE!</v>
      </c>
      <c r="BC7" s="30">
        <f>ROUND(Parcellaire!T6,0)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9">
        <f t="shared" si="4"/>
        <v>0</v>
      </c>
      <c r="BH7" s="169">
        <f t="shared" si="5"/>
        <v>0</v>
      </c>
      <c r="BI7" s="169">
        <f t="shared" si="6"/>
        <v>0</v>
      </c>
      <c r="BJ7" s="169">
        <f t="shared" si="7"/>
        <v>0</v>
      </c>
      <c r="BK7" s="169">
        <f t="shared" si="8"/>
        <v>0</v>
      </c>
      <c r="BL7" s="169">
        <f t="shared" si="9"/>
        <v>0</v>
      </c>
    </row>
    <row r="8" spans="1:64" x14ac:dyDescent="0.25">
      <c r="A8" s="14" t="s">
        <v>697</v>
      </c>
      <c r="B8" t="s">
        <v>567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0</v>
      </c>
      <c r="I8" s="173">
        <f>(I3+I4)*[1]Protect!$B$12</f>
        <v>0</v>
      </c>
      <c r="J8" s="173">
        <f>(J3+J4)*[1]Protect!$B$12</f>
        <v>0</v>
      </c>
      <c r="K8" s="173">
        <f>(K3+K4)*[1]Protect!$B$12</f>
        <v>0</v>
      </c>
      <c r="L8" s="173">
        <f>(L3+L4)*[1]Protect!$B$12</f>
        <v>0</v>
      </c>
      <c r="M8" s="173">
        <f>(M3+M4)*[1]Protect!$B$12</f>
        <v>0</v>
      </c>
      <c r="N8" s="173">
        <f>(N3+N4)*[1]Protect!$B$12</f>
        <v>0</v>
      </c>
      <c r="O8" s="173">
        <f>(O3+O4)*[1]Protect!$B$12</f>
        <v>0</v>
      </c>
      <c r="P8" s="173">
        <f>(P3+P4)*[1]Protect!$B$12</f>
        <v>0</v>
      </c>
      <c r="Q8" s="173">
        <f>(Q3+Q4)*[1]Protect!$B$12</f>
        <v>0</v>
      </c>
      <c r="R8" s="173">
        <f>(R3+R4)*[1]Protect!$B$12</f>
        <v>0</v>
      </c>
      <c r="S8" s="173">
        <f>(S3+S4)*[1]Protect!$B$12</f>
        <v>0</v>
      </c>
      <c r="T8" s="173">
        <f>(T3+T4)*[1]Protect!$B$12</f>
        <v>0</v>
      </c>
      <c r="U8" s="173">
        <f>(U3+U4)*[1]Protect!$B$12</f>
        <v>0</v>
      </c>
      <c r="V8" s="173">
        <f>(V3+V4)*[1]Protect!$B$12</f>
        <v>0</v>
      </c>
      <c r="W8" s="173">
        <f>(W3+W4)*[1]Protect!$B$12</f>
        <v>0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I8" s="40" t="s">
        <v>698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239</v>
      </c>
      <c r="AZ8" s="30">
        <f>Parcellaire!G7</f>
        <v>2.65</v>
      </c>
      <c r="BA8" s="30">
        <f>ROUND(Parcellaire!R7,0)</f>
        <v>0</v>
      </c>
      <c r="BB8" s="30">
        <f>ROUND(Parcellaire!S7,0)</f>
        <v>397</v>
      </c>
      <c r="BC8" s="30">
        <f>ROUND(Parcellaire!T7,0)</f>
        <v>793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69">
        <f t="shared" si="4"/>
        <v>0</v>
      </c>
      <c r="BH8" s="169">
        <f t="shared" si="5"/>
        <v>0</v>
      </c>
      <c r="BI8" s="169">
        <f t="shared" si="6"/>
        <v>397</v>
      </c>
      <c r="BJ8" s="169">
        <f t="shared" si="7"/>
        <v>0</v>
      </c>
      <c r="BK8" s="169">
        <f t="shared" si="8"/>
        <v>0</v>
      </c>
      <c r="BL8" s="169">
        <f t="shared" si="9"/>
        <v>2.65</v>
      </c>
    </row>
    <row r="9" spans="1:64" x14ac:dyDescent="0.25">
      <c r="A9" s="14" t="s">
        <v>699</v>
      </c>
      <c r="B9" t="s">
        <v>567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9">
        <f t="shared" si="4"/>
        <v>0</v>
      </c>
      <c r="BH9" s="169">
        <f t="shared" si="5"/>
        <v>0</v>
      </c>
      <c r="BI9" s="169">
        <f t="shared" si="6"/>
        <v>0</v>
      </c>
      <c r="BJ9" s="169">
        <f t="shared" si="7"/>
        <v>0</v>
      </c>
      <c r="BK9" s="169">
        <f t="shared" si="8"/>
        <v>0</v>
      </c>
      <c r="BL9" s="169">
        <f t="shared" si="9"/>
        <v>0</v>
      </c>
    </row>
    <row r="10" spans="1:64" x14ac:dyDescent="0.25">
      <c r="A10" s="14" t="s">
        <v>700</v>
      </c>
      <c r="B10" t="s">
        <v>567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242</v>
      </c>
      <c r="AZ10" s="30">
        <f>Parcellaire!G9</f>
        <v>2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9">
        <f t="shared" si="4"/>
        <v>0</v>
      </c>
      <c r="BH10" s="169">
        <f t="shared" si="5"/>
        <v>0</v>
      </c>
      <c r="BI10" s="169">
        <f t="shared" si="6"/>
        <v>0</v>
      </c>
      <c r="BJ10" s="169">
        <f t="shared" si="7"/>
        <v>0</v>
      </c>
      <c r="BK10" s="169">
        <f t="shared" si="8"/>
        <v>0</v>
      </c>
      <c r="BL10" s="169">
        <f t="shared" si="9"/>
        <v>2</v>
      </c>
    </row>
    <row r="11" spans="1:64" x14ac:dyDescent="0.25">
      <c r="A11" s="14" t="s">
        <v>701</v>
      </c>
      <c r="B11" t="s">
        <v>567</v>
      </c>
      <c r="C11" s="173">
        <f>SUM(C8:C10)</f>
        <v>0</v>
      </c>
      <c r="D11" s="173">
        <f t="shared" ref="D11:Z11" si="13">SUM(D8:D10)</f>
        <v>0</v>
      </c>
      <c r="E11" s="173">
        <f t="shared" si="13"/>
        <v>0</v>
      </c>
      <c r="F11" s="173">
        <f t="shared" si="13"/>
        <v>0</v>
      </c>
      <c r="G11" s="173">
        <f t="shared" si="13"/>
        <v>0</v>
      </c>
      <c r="H11" s="173">
        <f t="shared" si="13"/>
        <v>0</v>
      </c>
      <c r="I11" s="173">
        <f t="shared" si="13"/>
        <v>0</v>
      </c>
      <c r="J11" s="173">
        <f t="shared" si="13"/>
        <v>0</v>
      </c>
      <c r="K11" s="173">
        <f t="shared" si="13"/>
        <v>0</v>
      </c>
      <c r="L11" s="173">
        <f t="shared" si="13"/>
        <v>0</v>
      </c>
      <c r="M11" s="173">
        <f t="shared" si="13"/>
        <v>0</v>
      </c>
      <c r="N11" s="173">
        <f t="shared" si="13"/>
        <v>0</v>
      </c>
      <c r="O11" s="173">
        <f t="shared" si="13"/>
        <v>0</v>
      </c>
      <c r="P11" s="173">
        <f t="shared" si="13"/>
        <v>0</v>
      </c>
      <c r="Q11" s="173">
        <f t="shared" si="13"/>
        <v>0</v>
      </c>
      <c r="R11" s="173">
        <f t="shared" si="13"/>
        <v>0</v>
      </c>
      <c r="S11" s="173">
        <f t="shared" si="13"/>
        <v>0</v>
      </c>
      <c r="T11" s="173">
        <f t="shared" si="13"/>
        <v>0</v>
      </c>
      <c r="U11" s="173">
        <f t="shared" si="13"/>
        <v>0</v>
      </c>
      <c r="V11" s="173">
        <f t="shared" si="13"/>
        <v>0</v>
      </c>
      <c r="W11" s="173">
        <f t="shared" si="13"/>
        <v>0</v>
      </c>
      <c r="X11" s="173">
        <f t="shared" si="13"/>
        <v>0</v>
      </c>
      <c r="Y11" s="173">
        <f t="shared" si="13"/>
        <v>0</v>
      </c>
      <c r="Z11" s="173">
        <f t="shared" si="13"/>
        <v>0</v>
      </c>
      <c r="AB11" s="2" t="s">
        <v>702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245</v>
      </c>
      <c r="AZ11" s="30">
        <f>Parcellaire!G10</f>
        <v>6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69">
        <f t="shared" si="4"/>
        <v>0</v>
      </c>
      <c r="BH11" s="169">
        <f t="shared" si="5"/>
        <v>0</v>
      </c>
      <c r="BI11" s="169">
        <f t="shared" si="6"/>
        <v>0</v>
      </c>
      <c r="BJ11" s="169">
        <f t="shared" si="7"/>
        <v>0</v>
      </c>
      <c r="BK11" s="169">
        <f t="shared" si="8"/>
        <v>0</v>
      </c>
      <c r="BL11" s="169">
        <f t="shared" si="9"/>
        <v>6</v>
      </c>
    </row>
    <row r="12" spans="1:64" x14ac:dyDescent="0.25">
      <c r="A12" s="14" t="s">
        <v>703</v>
      </c>
      <c r="B12" t="s">
        <v>567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704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69">
        <f t="shared" si="4"/>
        <v>0</v>
      </c>
      <c r="BH12" s="169">
        <f t="shared" si="5"/>
        <v>0</v>
      </c>
      <c r="BI12" s="169">
        <f t="shared" si="6"/>
        <v>0</v>
      </c>
      <c r="BJ12" s="169">
        <f t="shared" si="7"/>
        <v>0</v>
      </c>
      <c r="BK12" s="169">
        <f t="shared" si="8"/>
        <v>0</v>
      </c>
      <c r="BL12" s="169">
        <f t="shared" si="9"/>
        <v>0</v>
      </c>
    </row>
    <row r="13" spans="1:64" x14ac:dyDescent="0.25">
      <c r="A13" s="14" t="s">
        <v>705</v>
      </c>
      <c r="B13" t="s">
        <v>567</v>
      </c>
      <c r="C13" s="173">
        <f>C11+C12</f>
        <v>0</v>
      </c>
      <c r="D13" s="173">
        <f t="shared" ref="D13:Z13" si="14">D11+D12</f>
        <v>0</v>
      </c>
      <c r="E13" s="173">
        <f t="shared" si="14"/>
        <v>0</v>
      </c>
      <c r="F13" s="173">
        <f t="shared" si="14"/>
        <v>0</v>
      </c>
      <c r="G13" s="173">
        <f t="shared" si="14"/>
        <v>0</v>
      </c>
      <c r="H13" s="173">
        <f t="shared" si="14"/>
        <v>0</v>
      </c>
      <c r="I13" s="173">
        <f t="shared" si="14"/>
        <v>0</v>
      </c>
      <c r="J13" s="173">
        <f t="shared" si="14"/>
        <v>0</v>
      </c>
      <c r="K13" s="173">
        <f t="shared" si="14"/>
        <v>0</v>
      </c>
      <c r="L13" s="173">
        <f t="shared" si="14"/>
        <v>0</v>
      </c>
      <c r="M13" s="173">
        <f t="shared" si="14"/>
        <v>0</v>
      </c>
      <c r="N13" s="173">
        <f t="shared" si="14"/>
        <v>0</v>
      </c>
      <c r="O13" s="173">
        <f t="shared" si="14"/>
        <v>0</v>
      </c>
      <c r="P13" s="173">
        <f t="shared" si="14"/>
        <v>0</v>
      </c>
      <c r="Q13" s="173">
        <f t="shared" si="14"/>
        <v>0</v>
      </c>
      <c r="R13" s="173">
        <f t="shared" si="14"/>
        <v>0</v>
      </c>
      <c r="S13" s="173">
        <f t="shared" si="14"/>
        <v>0</v>
      </c>
      <c r="T13" s="173">
        <f t="shared" si="14"/>
        <v>0</v>
      </c>
      <c r="U13" s="173">
        <f t="shared" si="14"/>
        <v>0</v>
      </c>
      <c r="V13" s="173">
        <f t="shared" si="14"/>
        <v>0</v>
      </c>
      <c r="W13" s="173">
        <f t="shared" si="14"/>
        <v>0</v>
      </c>
      <c r="X13" s="173">
        <f t="shared" si="14"/>
        <v>0</v>
      </c>
      <c r="Y13" s="173">
        <f t="shared" si="14"/>
        <v>0</v>
      </c>
      <c r="Z13" s="173">
        <f t="shared" si="14"/>
        <v>0</v>
      </c>
      <c r="AC13" s="14" t="s">
        <v>706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proche</v>
      </c>
      <c r="AY13" s="30">
        <f>Parcellaire!F12</f>
        <v>0</v>
      </c>
      <c r="AZ13" s="30">
        <f>Parcellaire!G12</f>
        <v>2.1</v>
      </c>
      <c r="BA13" s="30">
        <f>ROUND(Parcellaire!R12,0)</f>
        <v>0</v>
      </c>
      <c r="BB13" s="30">
        <f>ROUND(Parcellaire!S12,0)</f>
        <v>0</v>
      </c>
      <c r="BC13" s="30">
        <f>ROUND(Parcellaire!T12,0)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9">
        <f t="shared" si="4"/>
        <v>0</v>
      </c>
      <c r="BH13" s="169">
        <f t="shared" si="5"/>
        <v>0</v>
      </c>
      <c r="BI13" s="169">
        <f t="shared" si="6"/>
        <v>0</v>
      </c>
      <c r="BJ13" s="169">
        <f t="shared" si="7"/>
        <v>0</v>
      </c>
      <c r="BK13" s="169">
        <f t="shared" si="8"/>
        <v>0</v>
      </c>
      <c r="BL13" s="169">
        <f t="shared" si="9"/>
        <v>0</v>
      </c>
    </row>
    <row r="14" spans="1:64" x14ac:dyDescent="0.25">
      <c r="A14" s="43" t="s">
        <v>707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708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242</v>
      </c>
      <c r="AZ14" s="30">
        <f>Parcellaire!G13</f>
        <v>3</v>
      </c>
      <c r="BA14" s="30">
        <f>ROUND(Parcellaire!R13,0)</f>
        <v>0</v>
      </c>
      <c r="BB14" s="30">
        <f>ROUND(Parcellaire!S13,0)</f>
        <v>706</v>
      </c>
      <c r="BC14" s="30">
        <f>ROUND(Parcellaire!T13,0)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69">
        <f t="shared" si="4"/>
        <v>0</v>
      </c>
      <c r="BH14" s="169">
        <f t="shared" si="5"/>
        <v>706</v>
      </c>
      <c r="BI14" s="169">
        <f t="shared" si="6"/>
        <v>0</v>
      </c>
      <c r="BJ14" s="169">
        <f t="shared" si="7"/>
        <v>0</v>
      </c>
      <c r="BK14" s="169">
        <f t="shared" si="8"/>
        <v>3</v>
      </c>
      <c r="BL14" s="169">
        <f t="shared" si="9"/>
        <v>0</v>
      </c>
    </row>
    <row r="15" spans="1:64" x14ac:dyDescent="0.25">
      <c r="A15" s="174" t="s">
        <v>709</v>
      </c>
      <c r="B15" t="s">
        <v>567</v>
      </c>
      <c r="C15" s="169">
        <f t="shared" ref="C15:Z15" si="15">COUNTIF(C68:C77,0)</f>
        <v>0</v>
      </c>
      <c r="D15" s="169">
        <f t="shared" si="15"/>
        <v>0</v>
      </c>
      <c r="E15" s="169">
        <f t="shared" si="15"/>
        <v>0</v>
      </c>
      <c r="F15" s="169">
        <f t="shared" si="15"/>
        <v>0</v>
      </c>
      <c r="G15" s="169">
        <f t="shared" si="15"/>
        <v>0</v>
      </c>
      <c r="H15" s="169">
        <f t="shared" si="15"/>
        <v>0</v>
      </c>
      <c r="I15" s="169">
        <f t="shared" si="15"/>
        <v>0</v>
      </c>
      <c r="J15" s="169">
        <f t="shared" si="15"/>
        <v>0</v>
      </c>
      <c r="K15" s="169">
        <f t="shared" si="15"/>
        <v>0</v>
      </c>
      <c r="L15" s="169">
        <f t="shared" si="15"/>
        <v>0</v>
      </c>
      <c r="M15" s="169">
        <f t="shared" si="15"/>
        <v>0</v>
      </c>
      <c r="N15" s="169">
        <f t="shared" si="15"/>
        <v>0</v>
      </c>
      <c r="O15" s="169">
        <f t="shared" si="15"/>
        <v>0</v>
      </c>
      <c r="P15" s="169">
        <f t="shared" si="15"/>
        <v>0</v>
      </c>
      <c r="Q15" s="169">
        <f t="shared" si="15"/>
        <v>0</v>
      </c>
      <c r="R15" s="169">
        <f t="shared" si="15"/>
        <v>0</v>
      </c>
      <c r="S15" s="169">
        <f t="shared" si="15"/>
        <v>0</v>
      </c>
      <c r="T15" s="169">
        <f t="shared" si="15"/>
        <v>0</v>
      </c>
      <c r="U15" s="169">
        <f t="shared" si="15"/>
        <v>0</v>
      </c>
      <c r="V15" s="169">
        <f t="shared" si="15"/>
        <v>0</v>
      </c>
      <c r="W15" s="169">
        <f t="shared" si="15"/>
        <v>0</v>
      </c>
      <c r="X15" s="169">
        <f t="shared" si="15"/>
        <v>0</v>
      </c>
      <c r="Y15" s="169">
        <f t="shared" si="15"/>
        <v>0</v>
      </c>
      <c r="Z15" s="169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146</v>
      </c>
      <c r="AZ15" s="30">
        <f>Parcellaire!G14</f>
        <v>1.07</v>
      </c>
      <c r="BA15" s="30">
        <f>ROUND(Parcellaire!R14,0)</f>
        <v>0</v>
      </c>
      <c r="BB15" s="30">
        <f>ROUND(Parcellaire!S14,0)</f>
        <v>384</v>
      </c>
      <c r="BC15" s="30">
        <f>ROUND(Parcellaire!T14,0)</f>
        <v>153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3"/>
        <v>LP</v>
      </c>
      <c r="BG15" s="169">
        <f t="shared" si="4"/>
        <v>384</v>
      </c>
      <c r="BH15" s="169">
        <f t="shared" si="5"/>
        <v>0</v>
      </c>
      <c r="BI15" s="169">
        <f t="shared" si="6"/>
        <v>0</v>
      </c>
      <c r="BJ15" s="169">
        <f t="shared" si="7"/>
        <v>1.07</v>
      </c>
      <c r="BK15" s="169">
        <f t="shared" si="8"/>
        <v>0</v>
      </c>
      <c r="BL15" s="169">
        <f t="shared" si="9"/>
        <v>0</v>
      </c>
    </row>
    <row r="16" spans="1:64" x14ac:dyDescent="0.25">
      <c r="A16" s="174" t="s">
        <v>710</v>
      </c>
      <c r="B16" t="s">
        <v>567</v>
      </c>
      <c r="C16" s="169">
        <f t="shared" ref="C16:Z16" si="16">COUNTIF(C68:C77,1)</f>
        <v>4</v>
      </c>
      <c r="D16" s="169">
        <f t="shared" si="16"/>
        <v>3</v>
      </c>
      <c r="E16" s="169">
        <f t="shared" si="16"/>
        <v>3</v>
      </c>
      <c r="F16" s="169">
        <f t="shared" si="16"/>
        <v>3</v>
      </c>
      <c r="G16" s="169">
        <f t="shared" si="16"/>
        <v>3</v>
      </c>
      <c r="H16" s="169">
        <f t="shared" si="16"/>
        <v>3</v>
      </c>
      <c r="I16" s="169">
        <f t="shared" si="16"/>
        <v>4</v>
      </c>
      <c r="J16" s="169">
        <f t="shared" si="16"/>
        <v>4</v>
      </c>
      <c r="K16" s="169">
        <f t="shared" si="16"/>
        <v>4</v>
      </c>
      <c r="L16" s="169">
        <f t="shared" si="16"/>
        <v>4</v>
      </c>
      <c r="M16" s="169">
        <f t="shared" si="16"/>
        <v>3</v>
      </c>
      <c r="N16" s="169">
        <f t="shared" si="16"/>
        <v>3</v>
      </c>
      <c r="O16" s="169">
        <f t="shared" si="16"/>
        <v>3</v>
      </c>
      <c r="P16" s="169">
        <f t="shared" si="16"/>
        <v>3</v>
      </c>
      <c r="Q16" s="169">
        <f t="shared" si="16"/>
        <v>3</v>
      </c>
      <c r="R16" s="169">
        <f t="shared" si="16"/>
        <v>3</v>
      </c>
      <c r="S16" s="169">
        <f t="shared" si="16"/>
        <v>4</v>
      </c>
      <c r="T16" s="169">
        <f t="shared" si="16"/>
        <v>4</v>
      </c>
      <c r="U16" s="169">
        <f t="shared" si="16"/>
        <v>4</v>
      </c>
      <c r="V16" s="169">
        <f t="shared" si="16"/>
        <v>4</v>
      </c>
      <c r="W16" s="169">
        <f t="shared" si="16"/>
        <v>4</v>
      </c>
      <c r="X16" s="169">
        <f t="shared" si="16"/>
        <v>4</v>
      </c>
      <c r="Y16" s="169">
        <f t="shared" si="16"/>
        <v>4</v>
      </c>
      <c r="Z16" s="169">
        <f t="shared" si="16"/>
        <v>4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éloigné</v>
      </c>
      <c r="AY16" s="30">
        <f>Parcellaire!F15</f>
        <v>146</v>
      </c>
      <c r="AZ16" s="30">
        <f>Parcellaire!G15</f>
        <v>4.2</v>
      </c>
      <c r="BA16" s="30">
        <f>ROUND(Parcellaire!R15,0)</f>
        <v>0</v>
      </c>
      <c r="BB16" s="30">
        <f>ROUND(Parcellaire!S15,0)</f>
        <v>608</v>
      </c>
      <c r="BC16" s="30">
        <f>ROUND(Parcellaire!T15,0)</f>
        <v>608</v>
      </c>
      <c r="BD16" s="30" t="str">
        <f>IF(AW16=2,"",VLOOKUP(AY16,[1]MEP!$X$5:$AA$250,4))</f>
        <v>lande</v>
      </c>
      <c r="BE16" s="30" t="str">
        <f>IF(AW16=2,"",VLOOKUP(BD16,[1]MEP!$AC$5:$AD$10,2))</f>
        <v>LP</v>
      </c>
      <c r="BF16" s="30" t="str">
        <f t="shared" si="3"/>
        <v>LP</v>
      </c>
      <c r="BG16" s="169">
        <f t="shared" si="4"/>
        <v>608</v>
      </c>
      <c r="BH16" s="169">
        <f t="shared" si="5"/>
        <v>0</v>
      </c>
      <c r="BI16" s="169">
        <f t="shared" si="6"/>
        <v>0</v>
      </c>
      <c r="BJ16" s="169">
        <f t="shared" si="7"/>
        <v>4.2</v>
      </c>
      <c r="BK16" s="169">
        <f t="shared" si="8"/>
        <v>0</v>
      </c>
      <c r="BL16" s="169">
        <f t="shared" si="9"/>
        <v>0</v>
      </c>
    </row>
    <row r="17" spans="1:64" x14ac:dyDescent="0.25">
      <c r="A17" s="174" t="s">
        <v>711</v>
      </c>
      <c r="B17" t="s">
        <v>567</v>
      </c>
      <c r="C17" s="169">
        <f t="shared" ref="C17:Z17" si="17">COUNTIF(C68:C77,0.5)</f>
        <v>0</v>
      </c>
      <c r="D17" s="169">
        <f t="shared" si="17"/>
        <v>0</v>
      </c>
      <c r="E17" s="169">
        <f t="shared" si="17"/>
        <v>0</v>
      </c>
      <c r="F17" s="169">
        <f t="shared" si="17"/>
        <v>0</v>
      </c>
      <c r="G17" s="169">
        <f t="shared" si="17"/>
        <v>0</v>
      </c>
      <c r="H17" s="169">
        <f t="shared" si="17"/>
        <v>0</v>
      </c>
      <c r="I17" s="169">
        <f t="shared" si="17"/>
        <v>0</v>
      </c>
      <c r="J17" s="169">
        <f t="shared" si="17"/>
        <v>0</v>
      </c>
      <c r="K17" s="169">
        <f t="shared" si="17"/>
        <v>0</v>
      </c>
      <c r="L17" s="169">
        <f t="shared" si="17"/>
        <v>0</v>
      </c>
      <c r="M17" s="169">
        <f t="shared" si="17"/>
        <v>0</v>
      </c>
      <c r="N17" s="169">
        <f t="shared" si="17"/>
        <v>0</v>
      </c>
      <c r="O17" s="169">
        <f t="shared" si="17"/>
        <v>0</v>
      </c>
      <c r="P17" s="169">
        <f t="shared" si="17"/>
        <v>0</v>
      </c>
      <c r="Q17" s="169">
        <f t="shared" si="17"/>
        <v>0</v>
      </c>
      <c r="R17" s="169">
        <f t="shared" si="17"/>
        <v>0</v>
      </c>
      <c r="S17" s="169">
        <f t="shared" si="17"/>
        <v>0</v>
      </c>
      <c r="T17" s="169">
        <f t="shared" si="17"/>
        <v>0</v>
      </c>
      <c r="U17" s="169">
        <f t="shared" si="17"/>
        <v>0</v>
      </c>
      <c r="V17" s="169">
        <f t="shared" si="17"/>
        <v>0</v>
      </c>
      <c r="W17" s="169">
        <f t="shared" si="17"/>
        <v>0</v>
      </c>
      <c r="X17" s="169">
        <f t="shared" si="17"/>
        <v>0</v>
      </c>
      <c r="Y17" s="169">
        <f t="shared" si="17"/>
        <v>0</v>
      </c>
      <c r="Z17" s="169">
        <f t="shared" si="17"/>
        <v>0</v>
      </c>
      <c r="AB17" s="2" t="s">
        <v>712</v>
      </c>
      <c r="AD17" s="102" t="s">
        <v>713</v>
      </c>
      <c r="AE17" s="81"/>
      <c r="AF17" s="81"/>
      <c r="AH17" s="2" t="s">
        <v>714</v>
      </c>
      <c r="AK17" t="s">
        <v>715</v>
      </c>
      <c r="AV17" s="30">
        <f>Parcellaire!A16</f>
        <v>15</v>
      </c>
      <c r="AW17" s="30">
        <f>Parcellaire!B16</f>
        <v>1</v>
      </c>
      <c r="AX17" s="30" t="str">
        <f>Parcellaire!D16</f>
        <v>éloigné</v>
      </c>
      <c r="AY17" s="30">
        <f>Parcellaire!F16</f>
        <v>237</v>
      </c>
      <c r="AZ17" s="30">
        <f>Parcellaire!G16</f>
        <v>0.6</v>
      </c>
      <c r="BA17" s="30">
        <f>ROUND(Parcellaire!R16,0)</f>
        <v>0</v>
      </c>
      <c r="BB17" s="30">
        <f>ROUND(Parcellaire!S16,0)</f>
        <v>232</v>
      </c>
      <c r="BC17" s="30">
        <f>ROUND(Parcellaire!T16,0)</f>
        <v>155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PE</v>
      </c>
      <c r="BG17" s="169">
        <f t="shared" si="4"/>
        <v>0</v>
      </c>
      <c r="BH17" s="169">
        <f t="shared" si="5"/>
        <v>0</v>
      </c>
      <c r="BI17" s="169">
        <f t="shared" si="6"/>
        <v>232</v>
      </c>
      <c r="BJ17" s="169">
        <f t="shared" si="7"/>
        <v>0</v>
      </c>
      <c r="BK17" s="169">
        <f t="shared" si="8"/>
        <v>0</v>
      </c>
      <c r="BL17" s="169">
        <f t="shared" si="9"/>
        <v>0.6</v>
      </c>
    </row>
    <row r="18" spans="1:64" x14ac:dyDescent="0.25">
      <c r="A18" s="174" t="s">
        <v>716</v>
      </c>
      <c r="B18" t="s">
        <v>567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717</v>
      </c>
      <c r="AD18" s="120" t="s">
        <v>502</v>
      </c>
      <c r="AE18" s="81" t="s">
        <v>718</v>
      </c>
      <c r="AF18" s="120" t="s">
        <v>719</v>
      </c>
      <c r="AK18" t="s">
        <v>720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28</v>
      </c>
      <c r="AZ18" s="30">
        <f>Parcellaire!G17</f>
        <v>0.6</v>
      </c>
      <c r="BA18" s="30">
        <f>ROUND(Parcellaire!R17,0)</f>
        <v>0</v>
      </c>
      <c r="BB18" s="30">
        <f>ROUND(Parcellaire!S17,0)</f>
        <v>230</v>
      </c>
      <c r="BC18" s="30">
        <f>ROUND(Parcellaire!T17,0)</f>
        <v>230</v>
      </c>
      <c r="BD18" s="30" t="str">
        <f>IF(AW18=2,"",VLOOKUP(AY18,[1]MEP!$X$5:$AA$250,4))</f>
        <v>PT</v>
      </c>
      <c r="BE18" s="30" t="str">
        <f>IF(AW18=2,"",VLOOKUP(BD18,[1]MEP!$AC$5:$AD$10,2))</f>
        <v>P</v>
      </c>
      <c r="BF18" s="30" t="str">
        <f t="shared" si="3"/>
        <v>PF</v>
      </c>
      <c r="BG18" s="169">
        <f t="shared" si="4"/>
        <v>0</v>
      </c>
      <c r="BH18" s="169">
        <f t="shared" si="5"/>
        <v>230</v>
      </c>
      <c r="BI18" s="169">
        <f t="shared" si="6"/>
        <v>0</v>
      </c>
      <c r="BJ18" s="169">
        <f t="shared" si="7"/>
        <v>0</v>
      </c>
      <c r="BK18" s="169">
        <f t="shared" si="8"/>
        <v>0.6</v>
      </c>
      <c r="BL18" s="169">
        <f t="shared" si="9"/>
        <v>0</v>
      </c>
    </row>
    <row r="19" spans="1:64" x14ac:dyDescent="0.25">
      <c r="A19" s="174" t="s">
        <v>721</v>
      </c>
      <c r="B19" t="s">
        <v>567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713</v>
      </c>
      <c r="AK19" s="167" t="s">
        <v>723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239</v>
      </c>
      <c r="AZ19" s="30">
        <f>Parcellaire!G18</f>
        <v>2.11</v>
      </c>
      <c r="BA19" s="30">
        <f>ROUND(Parcellaire!R18,0)</f>
        <v>0</v>
      </c>
      <c r="BB19" s="30">
        <f>ROUND(Parcellaire!S18,0)</f>
        <v>646</v>
      </c>
      <c r="BC19" s="30">
        <f>ROUND(Parcellaire!T18,0)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9">
        <f t="shared" si="4"/>
        <v>0</v>
      </c>
      <c r="BH19" s="169">
        <f t="shared" si="5"/>
        <v>646</v>
      </c>
      <c r="BI19" s="169">
        <f t="shared" si="6"/>
        <v>0</v>
      </c>
      <c r="BJ19" s="169">
        <f t="shared" si="7"/>
        <v>0</v>
      </c>
      <c r="BK19" s="169">
        <f t="shared" si="8"/>
        <v>2.11</v>
      </c>
      <c r="BL19" s="169">
        <f t="shared" si="9"/>
        <v>0</v>
      </c>
    </row>
    <row r="20" spans="1:64" x14ac:dyDescent="0.25">
      <c r="A20" s="174" t="s">
        <v>724</v>
      </c>
      <c r="B20" t="s">
        <v>567</v>
      </c>
      <c r="C20" s="169">
        <f>COUNTIF(C81:C90,5)</f>
        <v>0</v>
      </c>
      <c r="D20" s="169">
        <f t="shared" ref="D20:Z20" si="20">COUNTIF(D81:D90,5)</f>
        <v>0</v>
      </c>
      <c r="E20" s="169">
        <f t="shared" si="20"/>
        <v>0</v>
      </c>
      <c r="F20" s="169">
        <f t="shared" si="20"/>
        <v>0</v>
      </c>
      <c r="G20" s="169">
        <f t="shared" si="20"/>
        <v>0</v>
      </c>
      <c r="H20" s="169">
        <f t="shared" si="20"/>
        <v>0</v>
      </c>
      <c r="I20" s="169">
        <f t="shared" si="20"/>
        <v>0</v>
      </c>
      <c r="J20" s="169">
        <f t="shared" si="20"/>
        <v>0</v>
      </c>
      <c r="K20" s="169">
        <f t="shared" si="20"/>
        <v>0</v>
      </c>
      <c r="L20" s="169">
        <f t="shared" si="20"/>
        <v>0</v>
      </c>
      <c r="M20" s="169">
        <f t="shared" si="20"/>
        <v>0</v>
      </c>
      <c r="N20" s="169">
        <f t="shared" si="20"/>
        <v>0</v>
      </c>
      <c r="O20" s="169">
        <f t="shared" si="20"/>
        <v>0</v>
      </c>
      <c r="P20" s="169">
        <f t="shared" si="20"/>
        <v>0</v>
      </c>
      <c r="Q20" s="169">
        <f t="shared" si="20"/>
        <v>0</v>
      </c>
      <c r="R20" s="169">
        <f t="shared" si="20"/>
        <v>0</v>
      </c>
      <c r="S20" s="169">
        <f t="shared" si="20"/>
        <v>0</v>
      </c>
      <c r="T20" s="169">
        <f t="shared" si="20"/>
        <v>0</v>
      </c>
      <c r="U20" s="169">
        <f t="shared" si="20"/>
        <v>0</v>
      </c>
      <c r="V20" s="169">
        <f t="shared" si="20"/>
        <v>0</v>
      </c>
      <c r="W20" s="169">
        <f t="shared" si="20"/>
        <v>0</v>
      </c>
      <c r="X20" s="169">
        <f t="shared" si="20"/>
        <v>0</v>
      </c>
      <c r="Y20" s="169">
        <f t="shared" si="20"/>
        <v>0</v>
      </c>
      <c r="Z20" s="169">
        <f t="shared" si="20"/>
        <v>0</v>
      </c>
      <c r="AC20" s="14" t="s">
        <v>725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726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éloigné</v>
      </c>
      <c r="AY20" s="30">
        <f>Parcellaire!F19</f>
        <v>237</v>
      </c>
      <c r="AZ20" s="30">
        <f>Parcellaire!G19</f>
        <v>1.35</v>
      </c>
      <c r="BA20" s="30">
        <f>ROUND(Parcellaire!R19,0)</f>
        <v>0</v>
      </c>
      <c r="BB20" s="30">
        <f>ROUND(Parcellaire!S19,0)</f>
        <v>493</v>
      </c>
      <c r="BC20" s="30">
        <f>ROUND(Parcellaire!T19,0)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69">
        <f t="shared" si="4"/>
        <v>0</v>
      </c>
      <c r="BH20" s="169">
        <f t="shared" si="5"/>
        <v>0</v>
      </c>
      <c r="BI20" s="169">
        <f t="shared" si="6"/>
        <v>493</v>
      </c>
      <c r="BJ20" s="169">
        <f t="shared" si="7"/>
        <v>0</v>
      </c>
      <c r="BK20" s="169">
        <f t="shared" si="8"/>
        <v>0</v>
      </c>
      <c r="BL20" s="169">
        <f t="shared" si="9"/>
        <v>1.35</v>
      </c>
    </row>
    <row r="21" spans="1:64" x14ac:dyDescent="0.25">
      <c r="A21" s="174" t="s">
        <v>727</v>
      </c>
      <c r="B21" t="s">
        <v>567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728</v>
      </c>
      <c r="AC21" s="14"/>
      <c r="AD21" s="64"/>
      <c r="AE21" s="64"/>
      <c r="AF21" s="64"/>
      <c r="AJ21" s="14" t="s">
        <v>729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éloigné</v>
      </c>
      <c r="AY21" s="30">
        <f>Parcellaire!F20</f>
        <v>237</v>
      </c>
      <c r="AZ21" s="30">
        <f>Parcellaire!G20</f>
        <v>1.1399999999999999</v>
      </c>
      <c r="BA21" s="30">
        <f>ROUND(Parcellaire!R20,0)</f>
        <v>0</v>
      </c>
      <c r="BB21" s="30">
        <f>ROUND(Parcellaire!S20,0)</f>
        <v>340</v>
      </c>
      <c r="BC21" s="30">
        <f>ROUND(Parcellaire!T20,0)</f>
        <v>226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69">
        <f t="shared" si="4"/>
        <v>0</v>
      </c>
      <c r="BH21" s="169">
        <f t="shared" si="5"/>
        <v>0</v>
      </c>
      <c r="BI21" s="169">
        <f t="shared" si="6"/>
        <v>340</v>
      </c>
      <c r="BJ21" s="169">
        <f t="shared" si="7"/>
        <v>0</v>
      </c>
      <c r="BK21" s="169">
        <f t="shared" si="8"/>
        <v>0</v>
      </c>
      <c r="BL21" s="169">
        <f t="shared" si="9"/>
        <v>1.1399999999999999</v>
      </c>
    </row>
    <row r="22" spans="1:64" x14ac:dyDescent="0.25">
      <c r="A22" s="174" t="s">
        <v>730</v>
      </c>
      <c r="B22" t="s">
        <v>567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714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2</v>
      </c>
      <c r="AX22" s="30" t="str">
        <f>Parcellaire!D21</f>
        <v>éloigné</v>
      </c>
      <c r="AY22" s="30">
        <f>Parcellaire!F21</f>
        <v>237</v>
      </c>
      <c r="AZ22" s="30">
        <f>Parcellaire!G21</f>
        <v>1.35</v>
      </c>
      <c r="BA22" s="30">
        <f>ROUND(Parcellaire!R21,0)</f>
        <v>0</v>
      </c>
      <c r="BB22" s="30">
        <f>ROUND(Parcellaire!S21,0)</f>
        <v>0</v>
      </c>
      <c r="BC22" s="30">
        <f>ROUND(Parcellaire!T21,0)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3"/>
        <v>AU</v>
      </c>
      <c r="BG22" s="169">
        <f t="shared" si="4"/>
        <v>0</v>
      </c>
      <c r="BH22" s="169">
        <f t="shared" si="5"/>
        <v>0</v>
      </c>
      <c r="BI22" s="169">
        <f t="shared" si="6"/>
        <v>0</v>
      </c>
      <c r="BJ22" s="169">
        <f t="shared" si="7"/>
        <v>0</v>
      </c>
      <c r="BK22" s="169">
        <f t="shared" si="8"/>
        <v>0</v>
      </c>
      <c r="BL22" s="169">
        <f t="shared" si="9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9">
        <f t="shared" si="4"/>
        <v>0</v>
      </c>
      <c r="BH23" s="169">
        <f t="shared" si="5"/>
        <v>0</v>
      </c>
      <c r="BI23" s="169">
        <f t="shared" si="6"/>
        <v>0</v>
      </c>
      <c r="BJ23" s="169">
        <f t="shared" si="7"/>
        <v>0</v>
      </c>
      <c r="BK23" s="169">
        <f t="shared" si="8"/>
        <v>0</v>
      </c>
      <c r="BL23" s="169">
        <f t="shared" si="9"/>
        <v>0</v>
      </c>
    </row>
    <row r="24" spans="1:64" x14ac:dyDescent="0.25">
      <c r="A24" s="43" t="s">
        <v>731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9">
        <f t="shared" si="4"/>
        <v>0</v>
      </c>
      <c r="BH24" s="169">
        <f t="shared" si="5"/>
        <v>0</v>
      </c>
      <c r="BI24" s="169">
        <f t="shared" si="6"/>
        <v>0</v>
      </c>
      <c r="BJ24" s="169">
        <f t="shared" si="7"/>
        <v>0</v>
      </c>
      <c r="BK24" s="169">
        <f t="shared" si="8"/>
        <v>0</v>
      </c>
      <c r="BL24" s="169">
        <f t="shared" si="9"/>
        <v>0</v>
      </c>
    </row>
    <row r="25" spans="1:64" x14ac:dyDescent="0.25">
      <c r="A25" s="14" t="s">
        <v>732</v>
      </c>
      <c r="B25" t="s">
        <v>581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733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9">
        <f t="shared" si="4"/>
        <v>0</v>
      </c>
      <c r="BH25" s="169">
        <f t="shared" si="5"/>
        <v>0</v>
      </c>
      <c r="BI25" s="169">
        <f t="shared" si="6"/>
        <v>0</v>
      </c>
      <c r="BJ25" s="169">
        <f t="shared" si="7"/>
        <v>0</v>
      </c>
      <c r="BK25" s="169">
        <f t="shared" si="8"/>
        <v>0</v>
      </c>
      <c r="BL25" s="169">
        <f t="shared" si="9"/>
        <v>0</v>
      </c>
    </row>
    <row r="26" spans="1:64" x14ac:dyDescent="0.25">
      <c r="A26" s="14" t="s">
        <v>690</v>
      </c>
      <c r="B26" t="s">
        <v>581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734</v>
      </c>
      <c r="AC26" s="14"/>
      <c r="AD26" s="167" t="s">
        <v>502</v>
      </c>
      <c r="AE26" t="s">
        <v>735</v>
      </c>
      <c r="AJ26" s="14" t="s">
        <v>675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9">
        <f t="shared" si="4"/>
        <v>0</v>
      </c>
      <c r="BH26" s="169">
        <f t="shared" si="5"/>
        <v>0</v>
      </c>
      <c r="BI26" s="169">
        <f t="shared" si="6"/>
        <v>0</v>
      </c>
      <c r="BJ26" s="169">
        <f t="shared" si="7"/>
        <v>0</v>
      </c>
      <c r="BK26" s="169">
        <f t="shared" si="8"/>
        <v>0</v>
      </c>
      <c r="BL26" s="169">
        <f t="shared" si="9"/>
        <v>0</v>
      </c>
    </row>
    <row r="27" spans="1:64" x14ac:dyDescent="0.25">
      <c r="A27" s="14" t="s">
        <v>693</v>
      </c>
      <c r="B27" t="s">
        <v>581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736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9">
        <f t="shared" si="4"/>
        <v>0</v>
      </c>
      <c r="BH27" s="169">
        <f t="shared" si="5"/>
        <v>0</v>
      </c>
      <c r="BI27" s="169">
        <f t="shared" si="6"/>
        <v>0</v>
      </c>
      <c r="BJ27" s="169">
        <f t="shared" si="7"/>
        <v>0</v>
      </c>
      <c r="BK27" s="169">
        <f t="shared" si="8"/>
        <v>0</v>
      </c>
      <c r="BL27" s="169">
        <f t="shared" si="9"/>
        <v>0</v>
      </c>
    </row>
    <row r="28" spans="1:64" x14ac:dyDescent="0.25">
      <c r="A28" s="14" t="s">
        <v>695</v>
      </c>
      <c r="B28" t="s">
        <v>581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737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9">
        <f t="shared" si="4"/>
        <v>0</v>
      </c>
      <c r="BH28" s="169">
        <f t="shared" si="5"/>
        <v>0</v>
      </c>
      <c r="BI28" s="169">
        <f t="shared" si="6"/>
        <v>0</v>
      </c>
      <c r="BJ28" s="169">
        <f t="shared" si="7"/>
        <v>0</v>
      </c>
      <c r="BK28" s="169">
        <f t="shared" si="8"/>
        <v>0</v>
      </c>
      <c r="BL28" s="169">
        <f t="shared" si="9"/>
        <v>0</v>
      </c>
    </row>
    <row r="29" spans="1:64" x14ac:dyDescent="0.25">
      <c r="A29" s="14" t="s">
        <v>697</v>
      </c>
      <c r="B29" t="s">
        <v>581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738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9">
        <f t="shared" si="4"/>
        <v>0</v>
      </c>
      <c r="BH29" s="169">
        <f t="shared" si="5"/>
        <v>0</v>
      </c>
      <c r="BI29" s="169">
        <f t="shared" si="6"/>
        <v>0</v>
      </c>
      <c r="BJ29" s="169">
        <f t="shared" si="7"/>
        <v>0</v>
      </c>
      <c r="BK29" s="169">
        <f t="shared" si="8"/>
        <v>0</v>
      </c>
      <c r="BL29" s="169">
        <f t="shared" si="9"/>
        <v>0</v>
      </c>
    </row>
    <row r="30" spans="1:64" x14ac:dyDescent="0.25">
      <c r="A30" s="14" t="s">
        <v>699</v>
      </c>
      <c r="B30" t="s">
        <v>581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739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9">
        <f t="shared" si="4"/>
        <v>0</v>
      </c>
      <c r="BH30" s="169">
        <f t="shared" si="5"/>
        <v>0</v>
      </c>
      <c r="BI30" s="169">
        <f t="shared" si="6"/>
        <v>0</v>
      </c>
      <c r="BJ30" s="169">
        <f t="shared" si="7"/>
        <v>0</v>
      </c>
      <c r="BK30" s="169">
        <f t="shared" si="8"/>
        <v>0</v>
      </c>
      <c r="BL30" s="169">
        <f t="shared" si="9"/>
        <v>0</v>
      </c>
    </row>
    <row r="31" spans="1:64" x14ac:dyDescent="0.25">
      <c r="A31" s="14" t="s">
        <v>700</v>
      </c>
      <c r="B31" t="s">
        <v>581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740</v>
      </c>
      <c r="AD31" s="169">
        <f>IF(AD30=0,0,1)</f>
        <v>0</v>
      </c>
      <c r="BG31" s="62">
        <f>SUM(BG3:BG30)</f>
        <v>992</v>
      </c>
      <c r="BH31" s="62">
        <f t="shared" ref="BH31:BK31" si="26">SUM(BH3:BH30)</f>
        <v>2852</v>
      </c>
      <c r="BI31" s="62">
        <f t="shared" si="26"/>
        <v>1462</v>
      </c>
      <c r="BJ31" s="62">
        <f t="shared" si="26"/>
        <v>5.2700000000000005</v>
      </c>
      <c r="BK31" s="62">
        <f t="shared" si="26"/>
        <v>10.709999999999999</v>
      </c>
      <c r="BL31" s="62">
        <f>SUM(BL3:BL30)</f>
        <v>13.74</v>
      </c>
    </row>
    <row r="32" spans="1:64" x14ac:dyDescent="0.25">
      <c r="A32" s="14" t="s">
        <v>701</v>
      </c>
      <c r="B32" t="s">
        <v>581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741</v>
      </c>
    </row>
    <row r="33" spans="1:132" x14ac:dyDescent="0.25">
      <c r="A33" s="14" t="s">
        <v>703</v>
      </c>
      <c r="B33" t="s">
        <v>581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742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705</v>
      </c>
      <c r="B34" t="s">
        <v>581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132" x14ac:dyDescent="0.25">
      <c r="A35" s="43" t="s">
        <v>743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4" t="s">
        <v>709</v>
      </c>
      <c r="B36" t="s">
        <v>581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132" x14ac:dyDescent="0.25">
      <c r="A37" s="174" t="s">
        <v>710</v>
      </c>
      <c r="B37" t="s">
        <v>581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132" x14ac:dyDescent="0.25">
      <c r="A38" s="174" t="s">
        <v>711</v>
      </c>
      <c r="B38" t="s">
        <v>581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132" x14ac:dyDescent="0.25">
      <c r="A39" s="174" t="s">
        <v>716</v>
      </c>
      <c r="B39" t="s">
        <v>581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4" t="s">
        <v>721</v>
      </c>
      <c r="B40" t="s">
        <v>581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132" x14ac:dyDescent="0.25">
      <c r="A41" s="174" t="s">
        <v>724</v>
      </c>
      <c r="B41" t="s">
        <v>581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132" x14ac:dyDescent="0.25">
      <c r="A42" s="174" t="s">
        <v>727</v>
      </c>
      <c r="B42" t="s">
        <v>581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132" x14ac:dyDescent="0.25">
      <c r="A43" s="174" t="s">
        <v>730</v>
      </c>
      <c r="B43" t="s">
        <v>581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132" x14ac:dyDescent="0.25">
      <c r="A44" s="174"/>
      <c r="AB44" s="178"/>
      <c r="AV44" s="178"/>
      <c r="AW44" s="178"/>
    </row>
    <row r="45" spans="1:132" x14ac:dyDescent="0.25">
      <c r="A45" s="43" t="s">
        <v>744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132" x14ac:dyDescent="0.25">
      <c r="A46" s="14" t="s">
        <v>732</v>
      </c>
      <c r="B46" t="s">
        <v>588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132" x14ac:dyDescent="0.25">
      <c r="A47" s="14" t="s">
        <v>690</v>
      </c>
      <c r="B47" t="s">
        <v>588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132" x14ac:dyDescent="0.25">
      <c r="A48" s="14" t="s">
        <v>693</v>
      </c>
      <c r="B48" t="s">
        <v>588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>
        <f>IF(CdTrp1!B76=1,1,IF(CdTrp1!B76=2,2,IF(CdTrp1!B76=3,2,0)))</f>
        <v>0</v>
      </c>
      <c r="AW48" s="178">
        <f>IF(CdTrp1!C76=1,1,IF(CdTrp1!C76=2,2,IF(CdTrp1!C76=3,2,0)))</f>
        <v>0</v>
      </c>
      <c r="AX48" s="178">
        <f>IF(CdTrp1!D76=1,1,IF(CdTrp1!D76=2,2,IF(CdTrp1!D76=3,2,0)))</f>
        <v>0</v>
      </c>
      <c r="AY48" s="178">
        <f>IF(CdTrp1!E76=1,1,IF(CdTrp1!E76=2,2,IF(CdTrp1!E76=3,2,0)))</f>
        <v>0</v>
      </c>
      <c r="AZ48" s="178">
        <f>IF(CdTrp1!F76=1,1,IF(CdTrp1!F76=2,2,IF(CdTrp1!F76=3,2,0)))</f>
        <v>0</v>
      </c>
      <c r="BA48" s="178">
        <f>IF(CdTrp1!G76=1,1,IF(CdTrp1!G76=2,2,IF(CdTrp1!G76=3,2,0)))</f>
        <v>0</v>
      </c>
      <c r="BB48" s="178">
        <f>IF(CdTrp1!H76=1,1,IF(CdTrp1!H76=2,2,IF(CdTrp1!H76=3,2,0)))</f>
        <v>0</v>
      </c>
      <c r="BC48" s="178">
        <f>IF(CdTrp1!I76=1,1,IF(CdTrp1!I76=2,2,IF(CdTrp1!I76=3,2,0)))</f>
        <v>0</v>
      </c>
      <c r="BD48" s="178">
        <f>IF(CdTrp1!J76=1,1,IF(CdTrp1!J76=2,2,IF(CdTrp1!J76=3,2,0)))</f>
        <v>0</v>
      </c>
      <c r="BE48" s="178">
        <f>IF(CdTrp1!K76=1,1,IF(CdTrp1!K76=2,2,IF(CdTrp1!K76=3,2,0)))</f>
        <v>0</v>
      </c>
      <c r="BF48" s="178">
        <f>IF(CdTrp1!L76=1,1,IF(CdTrp1!L76=2,2,IF(CdTrp1!L76=3,2,0)))</f>
        <v>0</v>
      </c>
      <c r="BG48" s="178">
        <f>IF(CdTrp1!M76=1,1,IF(CdTrp1!M76=2,2,IF(CdTrp1!M76=3,2,0)))</f>
        <v>0</v>
      </c>
      <c r="BH48" s="178">
        <f>IF(CdTrp1!N76=1,1,IF(CdTrp1!N76=2,2,IF(CdTrp1!N76=3,2,0)))</f>
        <v>0</v>
      </c>
      <c r="BI48" s="178">
        <f>IF(CdTrp1!O76=1,1,IF(CdTrp1!O76=2,2,IF(CdTrp1!O76=3,2,0)))</f>
        <v>0</v>
      </c>
      <c r="BJ48" s="178">
        <f>IF(CdTrp1!P76=1,1,IF(CdTrp1!P76=2,2,IF(CdTrp1!P76=3,2,0)))</f>
        <v>0</v>
      </c>
      <c r="BK48" s="178">
        <f>IF(CdTrp1!Q76=1,1,IF(CdTrp1!Q76=2,2,IF(CdTrp1!Q76=3,2,0)))</f>
        <v>0</v>
      </c>
      <c r="BL48" s="178">
        <f>IF(CdTrp1!R76=1,1,IF(CdTrp1!R76=2,2,IF(CdTrp1!R76=3,2,0)))</f>
        <v>0</v>
      </c>
      <c r="BM48" s="178">
        <f>IF(CdTrp1!S76=1,1,IF(CdTrp1!S76=2,2,IF(CdTrp1!S76=3,2,0)))</f>
        <v>0</v>
      </c>
      <c r="BN48" s="178">
        <f>IF(CdTrp1!T76=1,1,IF(CdTrp1!T76=2,2,IF(CdTrp1!T76=3,2,0)))</f>
        <v>0</v>
      </c>
      <c r="BO48" s="178">
        <f>IF(CdTrp1!U76=1,1,IF(CdTrp1!U76=2,2,IF(CdTrp1!U76=3,2,0)))</f>
        <v>0</v>
      </c>
      <c r="BP48" s="178">
        <f>IF(CdTrp1!V76=1,1,IF(CdTrp1!V76=2,2,IF(CdTrp1!V76=3,2,0)))</f>
        <v>0</v>
      </c>
      <c r="BQ48" s="178">
        <f>IF(CdTrp1!W76=1,1,IF(CdTrp1!W76=2,2,IF(CdTrp1!W76=3,2,0)))</f>
        <v>0</v>
      </c>
      <c r="BR48" s="178">
        <f>IF(CdTrp1!X76=1,1,IF(CdTrp1!X76=2,2,IF(CdTrp1!X76=3,2,0)))</f>
        <v>0</v>
      </c>
      <c r="BS48" s="17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695</v>
      </c>
      <c r="B49" t="s">
        <v>588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0</v>
      </c>
      <c r="BB49" s="178">
        <f>IF(CdTrp1!H77=1,1,IF(CdTrp1!H77=2,2,IF(CdTrp1!H77=3,2,0)))</f>
        <v>0</v>
      </c>
      <c r="BC49" s="178">
        <f>IF(CdTrp1!I77=1,1,IF(CdTrp1!I77=2,2,IF(CdTrp1!I77=3,2,0)))</f>
        <v>0</v>
      </c>
      <c r="BD49" s="178">
        <f>IF(CdTrp1!J77=1,1,IF(CdTrp1!J77=2,2,IF(CdTrp1!J77=3,2,0)))</f>
        <v>0</v>
      </c>
      <c r="BE49" s="178">
        <f>IF(CdTrp1!K77=1,1,IF(CdTrp1!K77=2,2,IF(CdTrp1!K77=3,2,0)))</f>
        <v>0</v>
      </c>
      <c r="BF49" s="178">
        <f>IF(CdTrp1!L77=1,1,IF(CdTrp1!L77=2,2,IF(CdTrp1!L77=3,2,0)))</f>
        <v>0</v>
      </c>
      <c r="BG49" s="178">
        <f>IF(CdTrp1!M77=1,1,IF(CdTrp1!M77=2,2,IF(CdTrp1!M77=3,2,0)))</f>
        <v>0</v>
      </c>
      <c r="BH49" s="178">
        <f>IF(CdTrp1!N77=1,1,IF(CdTrp1!N77=2,2,IF(CdTrp1!N77=3,2,0)))</f>
        <v>0</v>
      </c>
      <c r="BI49" s="178">
        <f>IF(CdTrp1!O77=1,1,IF(CdTrp1!O77=2,2,IF(CdTrp1!O77=3,2,0)))</f>
        <v>0</v>
      </c>
      <c r="BJ49" s="178">
        <f>IF(CdTrp1!P77=1,1,IF(CdTrp1!P77=2,2,IF(CdTrp1!P77=3,2,0)))</f>
        <v>0</v>
      </c>
      <c r="BK49" s="178">
        <f>IF(CdTrp1!Q77=1,1,IF(CdTrp1!Q77=2,2,IF(CdTrp1!Q77=3,2,0)))</f>
        <v>0</v>
      </c>
      <c r="BL49" s="178">
        <f>IF(CdTrp1!R77=1,1,IF(CdTrp1!R77=2,2,IF(CdTrp1!R77=3,2,0)))</f>
        <v>0</v>
      </c>
      <c r="BM49" s="178">
        <f>IF(CdTrp1!S77=1,1,IF(CdTrp1!S77=2,2,IF(CdTrp1!S77=3,2,0)))</f>
        <v>0</v>
      </c>
      <c r="BN49" s="178">
        <f>IF(CdTrp1!T77=1,1,IF(CdTrp1!T77=2,2,IF(CdTrp1!T77=3,2,0)))</f>
        <v>0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697</v>
      </c>
      <c r="B50" t="s">
        <v>588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0</v>
      </c>
      <c r="BF50" s="178">
        <f>IF(CdTrp1!L78=1,1,IF(CdTrp1!L78=2,2,IF(CdTrp1!L78=3,2,0)))</f>
        <v>0</v>
      </c>
      <c r="BG50" s="178">
        <f>IF(CdTrp1!M78=1,1,IF(CdTrp1!M78=2,2,IF(CdTrp1!M78=3,2,0)))</f>
        <v>0</v>
      </c>
      <c r="BH50" s="178">
        <f>IF(CdTrp1!N78=1,1,IF(CdTrp1!N78=2,2,IF(CdTrp1!N78=3,2,0)))</f>
        <v>0</v>
      </c>
      <c r="BI50" s="178">
        <f>IF(CdTrp1!O78=1,1,IF(CdTrp1!O78=2,2,IF(CdTrp1!O78=3,2,0)))</f>
        <v>0</v>
      </c>
      <c r="BJ50" s="178">
        <f>IF(CdTrp1!P78=1,1,IF(CdTrp1!P78=2,2,IF(CdTrp1!P78=3,2,0)))</f>
        <v>0</v>
      </c>
      <c r="BK50" s="178">
        <f>IF(CdTrp1!Q78=1,1,IF(CdTrp1!Q78=2,2,IF(CdTrp1!Q78=3,2,0)))</f>
        <v>0</v>
      </c>
      <c r="BL50" s="178">
        <f>IF(CdTrp1!R78=1,1,IF(CdTrp1!R78=2,2,IF(CdTrp1!R78=3,2,0)))</f>
        <v>0</v>
      </c>
      <c r="BM50" s="178">
        <f>IF(CdTrp1!S78=1,1,IF(CdTrp1!S78=2,2,IF(CdTrp1!S78=3,2,0)))</f>
        <v>0</v>
      </c>
      <c r="BN50" s="178">
        <f>IF(CdTrp1!T78=1,1,IF(CdTrp1!T78=2,2,IF(CdTrp1!T78=3,2,0)))</f>
        <v>0</v>
      </c>
      <c r="BO50" s="178">
        <f>IF(CdTrp1!U78=1,1,IF(CdTrp1!U78=2,2,IF(CdTrp1!U78=3,2,0)))</f>
        <v>0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588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0</v>
      </c>
      <c r="BB51" s="178">
        <f>IF(CdTrp1!H79=1,1,IF(CdTrp1!H79=2,2,IF(CdTrp1!H79=3,2,0)))</f>
        <v>0</v>
      </c>
      <c r="BC51" s="178">
        <f>IF(CdTrp1!I79=1,1,IF(CdTrp1!I79=2,2,IF(CdTrp1!I79=3,2,0)))</f>
        <v>0</v>
      </c>
      <c r="BD51" s="178">
        <f>IF(CdTrp1!J79=1,1,IF(CdTrp1!J79=2,2,IF(CdTrp1!J79=3,2,0)))</f>
        <v>0</v>
      </c>
      <c r="BE51" s="178">
        <f>IF(CdTrp1!K79=1,1,IF(CdTrp1!K79=2,2,IF(CdTrp1!K79=3,2,0)))</f>
        <v>0</v>
      </c>
      <c r="BF51" s="178">
        <f>IF(CdTrp1!L79=1,1,IF(CdTrp1!L79=2,2,IF(CdTrp1!L79=3,2,0)))</f>
        <v>0</v>
      </c>
      <c r="BG51" s="178">
        <f>IF(CdTrp1!M79=1,1,IF(CdTrp1!M79=2,2,IF(CdTrp1!M79=3,2,0)))</f>
        <v>0</v>
      </c>
      <c r="BH51" s="178">
        <f>IF(CdTrp1!N79=1,1,IF(CdTrp1!N79=2,2,IF(CdTrp1!N79=3,2,0)))</f>
        <v>0</v>
      </c>
      <c r="BI51" s="178">
        <f>IF(CdTrp1!O79=1,1,IF(CdTrp1!O79=2,2,IF(CdTrp1!O79=3,2,0)))</f>
        <v>0</v>
      </c>
      <c r="BJ51" s="178">
        <f>IF(CdTrp1!P79=1,1,IF(CdTrp1!P79=2,2,IF(CdTrp1!P79=3,2,0)))</f>
        <v>0</v>
      </c>
      <c r="BK51" s="178">
        <f>IF(CdTrp1!Q79=1,1,IF(CdTrp1!Q79=2,2,IF(CdTrp1!Q79=3,2,0)))</f>
        <v>0</v>
      </c>
      <c r="BL51" s="178">
        <f>IF(CdTrp1!R79=1,1,IF(CdTrp1!R79=2,2,IF(CdTrp1!R79=3,2,0)))</f>
        <v>0</v>
      </c>
      <c r="BM51" s="178">
        <f>IF(CdTrp1!S79=1,1,IF(CdTrp1!S79=2,2,IF(CdTrp1!S79=3,2,0)))</f>
        <v>0</v>
      </c>
      <c r="BN51" s="178">
        <f>IF(CdTrp1!T79=1,1,IF(CdTrp1!T79=2,2,IF(CdTrp1!T79=3,2,0)))</f>
        <v>0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700</v>
      </c>
      <c r="B52" t="s">
        <v>588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>
        <f>IF(CdTrp1!B80=1,1,IF(CdTrp1!B80=2,2,IF(CdTrp1!B80=3,2,0)))</f>
        <v>0</v>
      </c>
      <c r="AW52" s="178">
        <f>IF(CdTrp1!C80=1,1,IF(CdTrp1!C80=2,2,IF(CdTrp1!C80=3,2,0)))</f>
        <v>0</v>
      </c>
      <c r="AX52" s="178">
        <f>IF(CdTrp1!D80=1,1,IF(CdTrp1!D80=2,2,IF(CdTrp1!D80=3,2,0)))</f>
        <v>0</v>
      </c>
      <c r="AY52" s="178">
        <f>IF(CdTrp1!E80=1,1,IF(CdTrp1!E80=2,2,IF(CdTrp1!E80=3,2,0)))</f>
        <v>0</v>
      </c>
      <c r="AZ52" s="178">
        <f>IF(CdTrp1!F80=1,1,IF(CdTrp1!F80=2,2,IF(CdTrp1!F80=3,2,0)))</f>
        <v>0</v>
      </c>
      <c r="BA52" s="178">
        <f>IF(CdTrp1!G80=1,1,IF(CdTrp1!G80=2,2,IF(CdTrp1!G80=3,2,0)))</f>
        <v>0</v>
      </c>
      <c r="BB52" s="178">
        <f>IF(CdTrp1!H80=1,1,IF(CdTrp1!H80=2,2,IF(CdTrp1!H80=3,2,0)))</f>
        <v>0</v>
      </c>
      <c r="BC52" s="178">
        <f>IF(CdTrp1!I80=1,1,IF(CdTrp1!I80=2,2,IF(CdTrp1!I80=3,2,0)))</f>
        <v>0</v>
      </c>
      <c r="BD52" s="178">
        <f>IF(CdTrp1!J80=1,1,IF(CdTrp1!J80=2,2,IF(CdTrp1!J80=3,2,0)))</f>
        <v>0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0</v>
      </c>
      <c r="BM52" s="178">
        <f>IF(CdTrp1!S80=1,1,IF(CdTrp1!S80=2,2,IF(CdTrp1!S80=3,2,0)))</f>
        <v>0</v>
      </c>
      <c r="BN52" s="178">
        <f>IF(CdTrp1!T80=1,1,IF(CdTrp1!T80=2,2,IF(CdTrp1!T80=3,2,0)))</f>
        <v>0</v>
      </c>
      <c r="BO52" s="178">
        <f>IF(CdTrp1!U80=1,1,IF(CdTrp1!U80=2,2,IF(CdTrp1!U80=3,2,0)))</f>
        <v>0</v>
      </c>
      <c r="BP52" s="178">
        <f>IF(CdTrp1!V80=1,1,IF(CdTrp1!V80=2,2,IF(CdTrp1!V80=3,2,0)))</f>
        <v>0</v>
      </c>
      <c r="BQ52" s="178">
        <f>IF(CdTrp1!W80=1,1,IF(CdTrp1!W80=2,2,IF(CdTrp1!W80=3,2,0)))</f>
        <v>0</v>
      </c>
      <c r="BR52" s="178">
        <f>IF(CdTrp1!X80=1,1,IF(CdTrp1!X80=2,2,IF(CdTrp1!X80=3,2,0)))</f>
        <v>0</v>
      </c>
      <c r="BS52" s="178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701</v>
      </c>
      <c r="B53" t="s">
        <v>588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703</v>
      </c>
      <c r="B54" t="s">
        <v>588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705</v>
      </c>
      <c r="B55" t="s">
        <v>588</v>
      </c>
      <c r="C55" s="173">
        <f>C54+C53</f>
        <v>0</v>
      </c>
      <c r="D55" s="173">
        <f t="shared" ref="D55:Z55" si="41">IF(SUM(D50:D52)=0,D54,SUM(D50:D54))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4" t="s">
        <v>709</v>
      </c>
      <c r="B57" t="s">
        <v>588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4" t="s">
        <v>710</v>
      </c>
      <c r="B58" t="s">
        <v>588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132" x14ac:dyDescent="0.25">
      <c r="A59" s="174" t="s">
        <v>711</v>
      </c>
      <c r="B59" t="s">
        <v>588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132" x14ac:dyDescent="0.25">
      <c r="A60" s="174" t="s">
        <v>716</v>
      </c>
      <c r="B60" t="s">
        <v>588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132" x14ac:dyDescent="0.25">
      <c r="A61" s="174" t="s">
        <v>721</v>
      </c>
      <c r="B61" t="s">
        <v>588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132" x14ac:dyDescent="0.25">
      <c r="A62" s="174" t="s">
        <v>724</v>
      </c>
      <c r="B62" t="s">
        <v>588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132" x14ac:dyDescent="0.25">
      <c r="A63" s="174" t="s">
        <v>727</v>
      </c>
      <c r="B63" t="s">
        <v>588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4" t="s">
        <v>730</v>
      </c>
      <c r="B64" t="s">
        <v>588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746</v>
      </c>
      <c r="AV67" s="168"/>
      <c r="AW67" s="168"/>
    </row>
    <row r="68" spans="1:49" x14ac:dyDescent="0.25">
      <c r="A68" s="40" t="s">
        <v>747</v>
      </c>
      <c r="B68" s="30" t="str">
        <f>CdTrp1!A52</f>
        <v>Vaches suitées au pâturage</v>
      </c>
      <c r="C68" s="169">
        <f>IF($AA68=0,99,IF(C81&gt;3,CdTrp1!B76,CdTrp1!B52))</f>
        <v>99</v>
      </c>
      <c r="D68" s="169">
        <f>IF($AA68=0,99,IF(D81&gt;3,CdTrp1!C76,CdTrp1!C52))</f>
        <v>99</v>
      </c>
      <c r="E68" s="169">
        <f>IF($AA68=0,99,IF(E81&gt;3,CdTrp1!D76,CdTrp1!D52))</f>
        <v>99</v>
      </c>
      <c r="F68" s="169">
        <f>IF($AA68=0,99,IF(F81&gt;3,CdTrp1!E76,CdTrp1!E52))</f>
        <v>99</v>
      </c>
      <c r="G68" s="169">
        <f>IF($AA68=0,99,IF(G81&gt;3,CdTrp1!F76,CdTrp1!F52))</f>
        <v>99</v>
      </c>
      <c r="H68" s="169">
        <f>IF($AA68=0,99,IF(H81&gt;3,CdTrp1!G76,CdTrp1!G52))</f>
        <v>99</v>
      </c>
      <c r="I68" s="169">
        <f>IF($AA68=0,99,IF(I81&gt;3,CdTrp1!H76,CdTrp1!H52))</f>
        <v>1</v>
      </c>
      <c r="J68" s="169">
        <f>IF($AA68=0,99,IF(J81&gt;3,CdTrp1!I76,CdTrp1!I52))</f>
        <v>1</v>
      </c>
      <c r="K68" s="169">
        <f>IF($AA68=0,99,IF(K81&gt;3,CdTrp1!J76,CdTrp1!J52))</f>
        <v>1</v>
      </c>
      <c r="L68" s="169">
        <f>IF($AA68=0,99,IF(L81&gt;3,CdTrp1!K76,CdTrp1!K52))</f>
        <v>1</v>
      </c>
      <c r="M68" s="169">
        <f>IF($AA68=0,99,IF(M81&gt;3,CdTrp1!L76,CdTrp1!L52))</f>
        <v>99</v>
      </c>
      <c r="N68" s="169">
        <f>IF($AA68=0,99,IF(N81&gt;3,CdTrp1!M76,CdTrp1!M52))</f>
        <v>99</v>
      </c>
      <c r="O68" s="169">
        <f>IF($AA68=0,99,IF(O81&gt;3,CdTrp1!N76,CdTrp1!N52))</f>
        <v>99</v>
      </c>
      <c r="P68" s="169">
        <f>IF($AA68=0,99,IF(P81&gt;3,CdTrp1!O76,CdTrp1!O52))</f>
        <v>99</v>
      </c>
      <c r="Q68" s="169">
        <f>IF($AA68=0,99,IF(Q81&gt;3,CdTrp1!P76,CdTrp1!P52))</f>
        <v>99</v>
      </c>
      <c r="R68" s="169">
        <f>IF($AA68=0,99,IF(R81&gt;3,CdTrp1!Q76,CdTrp1!Q52))</f>
        <v>99</v>
      </c>
      <c r="S68" s="169">
        <f>IF($AA68=0,99,IF(S81&gt;3,CdTrp1!R76,CdTrp1!R52))</f>
        <v>99</v>
      </c>
      <c r="T68" s="169">
        <f>IF($AA68=0,99,IF(T81&gt;3,CdTrp1!S76,CdTrp1!S52))</f>
        <v>99</v>
      </c>
      <c r="U68" s="169">
        <f>IF($AA68=0,99,IF(U81&gt;3,CdTrp1!T76,CdTrp1!T52))</f>
        <v>99</v>
      </c>
      <c r="V68" s="169">
        <f>IF($AA68=0,99,IF(V81&gt;3,CdTrp1!U76,CdTrp1!U52))</f>
        <v>99</v>
      </c>
      <c r="W68" s="169">
        <f>IF($AA68=0,99,IF(W81&gt;3,CdTrp1!V76,CdTrp1!V52))</f>
        <v>99</v>
      </c>
      <c r="X68" s="169">
        <f>IF($AA68=0,99,IF(X81&gt;3,CdTrp1!W76,CdTrp1!W52))</f>
        <v>99</v>
      </c>
      <c r="Y68" s="169">
        <f>IF($AA68=0,99,IF(Y81&gt;3,CdTrp1!X76,CdTrp1!X52))</f>
        <v>99</v>
      </c>
      <c r="Z68" s="169">
        <f>IF($AA68=0,99,IF(Z81&gt;3,CdTrp1!Y76,CdTrp1!Y52))</f>
        <v>99</v>
      </c>
      <c r="AA68" s="178">
        <f>SUM(CdTrp1!B15:Y15)/24</f>
        <v>1.6279069767441863</v>
      </c>
      <c r="AD68" s="15"/>
      <c r="AE68" s="178"/>
      <c r="AF68" s="178"/>
      <c r="AG68" s="178"/>
      <c r="AH68" s="178"/>
      <c r="AI68" s="178"/>
    </row>
    <row r="69" spans="1:49" x14ac:dyDescent="0.25">
      <c r="B69" s="256" t="str">
        <f>CdTrp1!A53</f>
        <v xml:space="preserve">Vaches lot principal 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1</v>
      </c>
      <c r="J69" s="169">
        <f>IF($AA69=0,99,IF(J82&gt;3,CdTrp1!I77,CdTrp1!I53))</f>
        <v>1</v>
      </c>
      <c r="K69" s="169">
        <f>IF($AA69=0,99,IF(K82&gt;3,CdTrp1!J77,CdTrp1!J53))</f>
        <v>1</v>
      </c>
      <c r="L69" s="169">
        <f>IF($AA69=0,99,IF(L82&gt;3,CdTrp1!K77,CdTrp1!K53))</f>
        <v>1</v>
      </c>
      <c r="M69" s="169">
        <f>IF($AA69=0,99,IF(M82&gt;3,CdTrp1!L77,CdTrp1!L53))</f>
        <v>1</v>
      </c>
      <c r="N69" s="169">
        <f>IF($AA69=0,99,IF(N82&gt;3,CdTrp1!M77,CdTrp1!M53))</f>
        <v>1</v>
      </c>
      <c r="O69" s="169">
        <f>IF($AA69=0,99,IF(O82&gt;3,CdTrp1!N77,CdTrp1!N53))</f>
        <v>1</v>
      </c>
      <c r="P69" s="169">
        <f>IF($AA69=0,99,IF(P82&gt;3,CdTrp1!O77,CdTrp1!O53))</f>
        <v>1</v>
      </c>
      <c r="Q69" s="169">
        <f>IF($AA69=0,99,IF(Q82&gt;3,CdTrp1!P77,CdTrp1!P53))</f>
        <v>1</v>
      </c>
      <c r="R69" s="169">
        <f>IF($AA69=0,99,IF(R82&gt;3,CdTrp1!Q77,CdTrp1!Q53))</f>
        <v>1</v>
      </c>
      <c r="S69" s="169">
        <f>IF($AA69=0,99,IF(S82&gt;3,CdTrp1!R77,CdTrp1!R53))</f>
        <v>1</v>
      </c>
      <c r="T69" s="169">
        <f>IF($AA69=0,99,IF(T82&gt;3,CdTrp1!S77,CdTrp1!S53))</f>
        <v>1</v>
      </c>
      <c r="U69" s="169">
        <f>IF($AA69=0,99,IF(U82&gt;3,CdTrp1!T77,CdTrp1!T53))</f>
        <v>1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25.620155038759691</v>
      </c>
      <c r="AD69" s="15"/>
      <c r="AU69" s="180"/>
    </row>
    <row r="70" spans="1:49" x14ac:dyDescent="0.25">
      <c r="B70" s="256" t="str">
        <f>CdTrp1!A54</f>
        <v>Génisses renouvellement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1</v>
      </c>
      <c r="M70" s="169">
        <f>IF($AA70=0,99,IF(M83&gt;3,CdTrp1!L78,CdTrp1!L54))</f>
        <v>1</v>
      </c>
      <c r="N70" s="169">
        <f>IF($AA70=0,99,IF(N83&gt;3,CdTrp1!M78,CdTrp1!M54))</f>
        <v>1</v>
      </c>
      <c r="O70" s="169">
        <f>IF($AA70=0,99,IF(O83&gt;3,CdTrp1!N78,CdTrp1!N54))</f>
        <v>1</v>
      </c>
      <c r="P70" s="169">
        <f>IF($AA70=0,99,IF(P83&gt;3,CdTrp1!O78,CdTrp1!O54))</f>
        <v>1</v>
      </c>
      <c r="Q70" s="169">
        <f>IF($AA70=0,99,IF(Q83&gt;3,CdTrp1!P78,CdTrp1!P54))</f>
        <v>1</v>
      </c>
      <c r="R70" s="169">
        <f>IF($AA70=0,99,IF(R83&gt;3,CdTrp1!Q78,CdTrp1!Q54))</f>
        <v>1</v>
      </c>
      <c r="S70" s="169">
        <f>IF($AA70=0,99,IF(S83&gt;3,CdTrp1!R78,CdTrp1!R54))</f>
        <v>1</v>
      </c>
      <c r="T70" s="169">
        <f>IF($AA70=0,99,IF(T83&gt;3,CdTrp1!S78,CdTrp1!S54))</f>
        <v>1</v>
      </c>
      <c r="U70" s="169">
        <f>IF($AA70=0,99,IF(U83&gt;3,CdTrp1!T78,CdTrp1!T54))</f>
        <v>1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16.085271317829456</v>
      </c>
      <c r="AD70" s="15"/>
    </row>
    <row r="71" spans="1:49" x14ac:dyDescent="0.25">
      <c r="B71" s="30" t="str">
        <f>CdTrp1!A55</f>
        <v>génisses 2/3 ans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1</v>
      </c>
      <c r="I71" s="169">
        <f>IF($AA71=0,99,IF(I84&gt;3,CdTrp1!H79,CdTrp1!H55))</f>
        <v>1</v>
      </c>
      <c r="J71" s="169">
        <f>IF($AA71=0,99,IF(J84&gt;3,CdTrp1!I79,CdTrp1!I55))</f>
        <v>1</v>
      </c>
      <c r="K71" s="169">
        <f>IF($AA71=0,99,IF(K84&gt;3,CdTrp1!J79,CdTrp1!J55))</f>
        <v>1</v>
      </c>
      <c r="L71" s="169">
        <f>IF($AA71=0,99,IF(L84&gt;3,CdTrp1!K79,CdTrp1!K55))</f>
        <v>1</v>
      </c>
      <c r="M71" s="169">
        <f>IF($AA71=0,99,IF(M84&gt;3,CdTrp1!L79,CdTrp1!L55))</f>
        <v>1</v>
      </c>
      <c r="N71" s="169">
        <f>IF($AA71=0,99,IF(N84&gt;3,CdTrp1!M79,CdTrp1!M55))</f>
        <v>1</v>
      </c>
      <c r="O71" s="169">
        <f>IF($AA71=0,99,IF(O84&gt;3,CdTrp1!N79,CdTrp1!N55))</f>
        <v>1</v>
      </c>
      <c r="P71" s="169">
        <f>IF($AA71=0,99,IF(P84&gt;3,CdTrp1!O79,CdTrp1!O55))</f>
        <v>1</v>
      </c>
      <c r="Q71" s="169">
        <f>IF($AA71=0,99,IF(Q84&gt;3,CdTrp1!P79,CdTrp1!P55))</f>
        <v>1</v>
      </c>
      <c r="R71" s="169">
        <f>IF($AA71=0,99,IF(R84&gt;3,CdTrp1!Q79,CdTrp1!Q55))</f>
        <v>1</v>
      </c>
      <c r="S71" s="169">
        <f>IF($AA71=0,99,IF(S84&gt;3,CdTrp1!R79,CdTrp1!R55))</f>
        <v>1</v>
      </c>
      <c r="T71" s="169">
        <f>IF($AA71=0,99,IF(T84&gt;3,CdTrp1!S79,CdTrp1!S55))</f>
        <v>1</v>
      </c>
      <c r="U71" s="169">
        <f>IF($AA71=0,99,IF(U84&gt;3,CdTrp1!T79,CdTrp1!T55))</f>
        <v>1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8">
        <f>SUM(CdTrp1!B18:Y18)/24</f>
        <v>9.302325581395344</v>
      </c>
      <c r="AD71" s="15"/>
    </row>
    <row r="72" spans="1:49" x14ac:dyDescent="0.25">
      <c r="B72" s="256" t="str">
        <f>CdTrp1!A56</f>
        <v>tardive</v>
      </c>
      <c r="C72" s="169">
        <f>IF($AA72=0,99,IF(C85&gt;3,CdTrp1!B80,CdTrp1!B56))</f>
        <v>1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1</v>
      </c>
      <c r="T72" s="169">
        <f>IF($AA72=0,99,IF(T85&gt;3,CdTrp1!S80,CdTrp1!S56))</f>
        <v>1</v>
      </c>
      <c r="U72" s="169">
        <f>IF($AA72=0,99,IF(U85&gt;3,CdTrp1!T80,CdTrp1!T56))</f>
        <v>1</v>
      </c>
      <c r="V72" s="169">
        <f>IF($AA72=0,99,IF(V85&gt;3,CdTrp1!U80,CdTrp1!U56))</f>
        <v>1</v>
      </c>
      <c r="W72" s="169">
        <f>IF($AA72=0,99,IF(W85&gt;3,CdTrp1!V80,CdTrp1!V56))</f>
        <v>1</v>
      </c>
      <c r="X72" s="169">
        <f>IF($AA72=0,99,IF(X85&gt;3,CdTrp1!W80,CdTrp1!W56))</f>
        <v>1</v>
      </c>
      <c r="Y72" s="169">
        <f>IF($AA72=0,99,IF(Y85&gt;3,CdTrp1!X80,CdTrp1!X56))</f>
        <v>1</v>
      </c>
      <c r="Z72" s="169">
        <f>IF($AA72=0,99,IF(Z85&gt;3,CdTrp1!Y80,CdTrp1!Y56))</f>
        <v>1</v>
      </c>
      <c r="AA72" s="178">
        <f>SUM(CdTrp1!B19:Y19)/24</f>
        <v>3.3720930232558146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56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56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56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748</v>
      </c>
      <c r="B81" s="30" t="str">
        <f>CdTrp1!A76</f>
        <v>Vaches suitées au pâturage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0</v>
      </c>
      <c r="J81" s="169">
        <f>CdTrp1!I76</f>
        <v>0</v>
      </c>
      <c r="K81" s="169">
        <f>CdTrp1!J76</f>
        <v>0</v>
      </c>
      <c r="L81" s="169">
        <f>CdTrp1!K76</f>
        <v>0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56" t="str">
        <f>CdTrp1!A77</f>
        <v xml:space="preserve">Vaches lot principal 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0</v>
      </c>
      <c r="I82" s="169">
        <f>CdTrp1!H77</f>
        <v>0</v>
      </c>
      <c r="J82" s="169">
        <f>CdTrp1!I77</f>
        <v>0</v>
      </c>
      <c r="K82" s="169">
        <f>CdTrp1!J77</f>
        <v>0</v>
      </c>
      <c r="L82" s="169">
        <f>CdTrp1!K77</f>
        <v>0</v>
      </c>
      <c r="M82" s="169">
        <f>CdTrp1!L77</f>
        <v>0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0</v>
      </c>
      <c r="U82" s="169">
        <f>CdTrp1!T77</f>
        <v>0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56" t="str">
        <f>CdTrp1!A78</f>
        <v>Génisses renouvellement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génisses 2/3 ans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56" t="str">
        <f>CdTrp1!A80</f>
        <v>tardive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56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56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56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746</v>
      </c>
    </row>
    <row r="110" spans="1:27" x14ac:dyDescent="0.25">
      <c r="A110" s="40" t="s">
        <v>749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6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6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746</v>
      </c>
    </row>
    <row r="153" spans="1:27" x14ac:dyDescent="0.25">
      <c r="A153" s="40" t="s">
        <v>751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752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753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754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755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756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757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758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759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760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761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762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763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764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765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766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767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768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769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770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771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772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773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U264" sqref="U264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774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2" t="s">
        <v>775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775</v>
      </c>
      <c r="AS2" s="40" t="s">
        <v>567</v>
      </c>
      <c r="AT2" s="169" t="str">
        <f>Troupeau!B3</f>
        <v>BV</v>
      </c>
      <c r="AU2" s="169">
        <f>IF(AT2="OL",1,IF(AT2="BV",2,IF(AT2="BL",3,IF(AT2="EQ",4,0))))</f>
        <v>2</v>
      </c>
      <c r="BY2" s="40" t="s">
        <v>581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588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776</v>
      </c>
      <c r="B3" s="2"/>
      <c r="C3" s="2"/>
      <c r="D3" s="23"/>
      <c r="E3" s="23"/>
      <c r="AR3" s="182" t="s">
        <v>775</v>
      </c>
      <c r="AT3" s="2" t="s">
        <v>777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778</v>
      </c>
      <c r="B4" s="2"/>
      <c r="C4" s="2"/>
      <c r="D4" s="23"/>
      <c r="E4" s="23"/>
      <c r="F4" s="33"/>
      <c r="AR4" s="182" t="s">
        <v>775</v>
      </c>
      <c r="AT4" s="183" t="str">
        <f>AT26</f>
        <v>Vaches suitées au pâturage</v>
      </c>
      <c r="AU4" s="168"/>
      <c r="AV4" s="169">
        <f>CdTrp1!B15</f>
        <v>0</v>
      </c>
      <c r="AW4" s="169">
        <f>CdTrp1!C15</f>
        <v>0</v>
      </c>
      <c r="AX4" s="169">
        <f>CdTrp1!D15</f>
        <v>0</v>
      </c>
      <c r="AY4" s="169">
        <f>CdTrp1!E15</f>
        <v>0</v>
      </c>
      <c r="AZ4" s="169">
        <f>CdTrp1!F15</f>
        <v>0</v>
      </c>
      <c r="BA4" s="169">
        <f>CdTrp1!G15</f>
        <v>0</v>
      </c>
      <c r="BB4" s="169">
        <f>CdTrp1!H15</f>
        <v>13.953488372093023</v>
      </c>
      <c r="BC4" s="169">
        <f>CdTrp1!I15</f>
        <v>12.093023255813954</v>
      </c>
      <c r="BD4" s="169">
        <f>CdTrp1!J15</f>
        <v>7.441860465116279</v>
      </c>
      <c r="BE4" s="169">
        <f>CdTrp1!K15</f>
        <v>3.7209302325581395</v>
      </c>
      <c r="BF4" s="169">
        <f>CdTrp1!L15</f>
        <v>1.8604651162790697</v>
      </c>
      <c r="BG4" s="169">
        <f>CdTrp1!M15</f>
        <v>0</v>
      </c>
      <c r="BH4" s="169">
        <f>CdTrp1!N15</f>
        <v>0</v>
      </c>
      <c r="BI4" s="169">
        <f>CdTrp1!O15</f>
        <v>0</v>
      </c>
      <c r="BJ4" s="169">
        <f>CdTrp1!P15</f>
        <v>0</v>
      </c>
      <c r="BK4" s="169">
        <f>CdTrp1!Q15</f>
        <v>0</v>
      </c>
      <c r="BL4" s="169">
        <f>CdTrp1!R15</f>
        <v>0</v>
      </c>
      <c r="BM4" s="169">
        <f>CdTrp1!S15</f>
        <v>0</v>
      </c>
      <c r="BN4" s="169">
        <f>CdTrp1!T15</f>
        <v>0</v>
      </c>
      <c r="BO4" s="169">
        <f>CdTrp1!U15</f>
        <v>0</v>
      </c>
      <c r="BP4" s="169">
        <f>CdTrp1!V15</f>
        <v>0</v>
      </c>
      <c r="BQ4" s="169">
        <f>CdTrp1!W15</f>
        <v>0</v>
      </c>
      <c r="BR4" s="169">
        <f>CdTrp1!X15</f>
        <v>0</v>
      </c>
      <c r="BS4" s="169">
        <f>CdTrp1!Y15</f>
        <v>0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567</v>
      </c>
      <c r="F5" s="169">
        <f>SUM(G5:AD5)</f>
        <v>0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0</v>
      </c>
      <c r="M5" s="169">
        <f t="shared" si="0"/>
        <v>0</v>
      </c>
      <c r="N5" s="169">
        <f t="shared" si="0"/>
        <v>0</v>
      </c>
      <c r="O5" s="169">
        <f t="shared" si="0"/>
        <v>0</v>
      </c>
      <c r="P5" s="169">
        <f t="shared" si="0"/>
        <v>0</v>
      </c>
      <c r="Q5" s="169">
        <f t="shared" si="0"/>
        <v>0</v>
      </c>
      <c r="R5" s="169">
        <f t="shared" si="0"/>
        <v>0</v>
      </c>
      <c r="S5" s="169">
        <f t="shared" si="0"/>
        <v>0</v>
      </c>
      <c r="T5" s="169">
        <f t="shared" si="0"/>
        <v>0</v>
      </c>
      <c r="U5" s="169">
        <f t="shared" si="0"/>
        <v>0</v>
      </c>
      <c r="V5" s="169">
        <f t="shared" si="0"/>
        <v>0</v>
      </c>
      <c r="W5" s="169">
        <f t="shared" si="0"/>
        <v>0</v>
      </c>
      <c r="X5" s="169">
        <f t="shared" si="0"/>
        <v>0</v>
      </c>
      <c r="Y5" s="169">
        <f t="shared" si="0"/>
        <v>0</v>
      </c>
      <c r="Z5" s="169">
        <f t="shared" si="0"/>
        <v>0</v>
      </c>
      <c r="AA5" s="169">
        <f t="shared" si="0"/>
        <v>0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775</v>
      </c>
      <c r="AT5" s="183" t="str">
        <f t="shared" ref="AT5:AT13" si="1">AT27</f>
        <v xml:space="preserve">Vaches lot principal </v>
      </c>
      <c r="AU5" s="168"/>
      <c r="AV5" s="169">
        <f>CdTrp1!B16</f>
        <v>27.906976744186046</v>
      </c>
      <c r="AW5" s="169">
        <f>CdTrp1!C16</f>
        <v>30.697674418604652</v>
      </c>
      <c r="AX5" s="169">
        <f>CdTrp1!D16</f>
        <v>30.697674418604652</v>
      </c>
      <c r="AY5" s="169">
        <f>CdTrp1!E16</f>
        <v>30.697674418604652</v>
      </c>
      <c r="AZ5" s="169">
        <f>CdTrp1!F16</f>
        <v>30.697674418604652</v>
      </c>
      <c r="BA5" s="169">
        <f>CdTrp1!G16</f>
        <v>30.697674418604652</v>
      </c>
      <c r="BB5" s="169">
        <f>CdTrp1!H16</f>
        <v>16.744186046511629</v>
      </c>
      <c r="BC5" s="169">
        <f>CdTrp1!I16</f>
        <v>18.604651162790699</v>
      </c>
      <c r="BD5" s="169">
        <f>CdTrp1!J16</f>
        <v>23.255813953488371</v>
      </c>
      <c r="BE5" s="169">
        <f>CdTrp1!K16</f>
        <v>26.976744186046513</v>
      </c>
      <c r="BF5" s="169">
        <f>CdTrp1!L16</f>
        <v>28.837209302325583</v>
      </c>
      <c r="BG5" s="169">
        <f>CdTrp1!M16</f>
        <v>30.697674418604652</v>
      </c>
      <c r="BH5" s="169">
        <f>CdTrp1!N16</f>
        <v>30.697674418604652</v>
      </c>
      <c r="BI5" s="169">
        <f>CdTrp1!O16</f>
        <v>30.697674418604652</v>
      </c>
      <c r="BJ5" s="169">
        <f>CdTrp1!P16</f>
        <v>30.697674418604652</v>
      </c>
      <c r="BK5" s="169">
        <f>CdTrp1!Q16</f>
        <v>29.767441860465116</v>
      </c>
      <c r="BL5" s="169">
        <f>CdTrp1!R16</f>
        <v>19.534883720930232</v>
      </c>
      <c r="BM5" s="169">
        <f>CdTrp1!S16</f>
        <v>19.534883720930232</v>
      </c>
      <c r="BN5" s="169">
        <f>CdTrp1!T16</f>
        <v>19.534883720930232</v>
      </c>
      <c r="BO5" s="169">
        <f>CdTrp1!U16</f>
        <v>20.465116279069768</v>
      </c>
      <c r="BP5" s="169">
        <f>CdTrp1!V16</f>
        <v>20.465116279069768</v>
      </c>
      <c r="BQ5" s="169">
        <f>CdTrp1!W16</f>
        <v>21.395348837209301</v>
      </c>
      <c r="BR5" s="169">
        <f>CdTrp1!X16</f>
        <v>21.395348837209301</v>
      </c>
      <c r="BS5" s="169">
        <f>CdTrp1!Y16</f>
        <v>24.186046511627907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581</v>
      </c>
      <c r="F6" s="169">
        <f>IF(Troupeau!B3="OL",SUM(G6:AD6)*0.6,SUM(G6:AD6))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775</v>
      </c>
      <c r="AT6" s="183" t="str">
        <f t="shared" si="1"/>
        <v>Génisses renouvellement</v>
      </c>
      <c r="AU6" s="168"/>
      <c r="AV6" s="169">
        <f>CdTrp1!B17</f>
        <v>10.232558139534884</v>
      </c>
      <c r="AW6" s="169">
        <f>CdTrp1!C17</f>
        <v>12.093023255813954</v>
      </c>
      <c r="AX6" s="169">
        <f>CdTrp1!D17</f>
        <v>15.813953488372093</v>
      </c>
      <c r="AY6" s="169">
        <f>CdTrp1!E17</f>
        <v>18.604651162790699</v>
      </c>
      <c r="AZ6" s="169">
        <f>CdTrp1!F17</f>
        <v>18.604651162790699</v>
      </c>
      <c r="BA6" s="169">
        <f>CdTrp1!G17</f>
        <v>18.604651162790699</v>
      </c>
      <c r="BB6" s="169">
        <f>CdTrp1!H17</f>
        <v>18.604651162790699</v>
      </c>
      <c r="BC6" s="169">
        <f>CdTrp1!I17</f>
        <v>18.604651162790699</v>
      </c>
      <c r="BD6" s="169">
        <f>CdTrp1!J17</f>
        <v>18.604651162790699</v>
      </c>
      <c r="BE6" s="169">
        <f>CdTrp1!K17</f>
        <v>18.604651162790699</v>
      </c>
      <c r="BF6" s="169">
        <f>CdTrp1!L17</f>
        <v>18.604651162790699</v>
      </c>
      <c r="BG6" s="169">
        <f>CdTrp1!M17</f>
        <v>18.604651162790699</v>
      </c>
      <c r="BH6" s="169">
        <f>CdTrp1!N17</f>
        <v>18.604651162790699</v>
      </c>
      <c r="BI6" s="169">
        <f>CdTrp1!O17</f>
        <v>18.604651162790699</v>
      </c>
      <c r="BJ6" s="169">
        <f>CdTrp1!P17</f>
        <v>18.604651162790699</v>
      </c>
      <c r="BK6" s="169">
        <f>CdTrp1!Q17</f>
        <v>18.604651162790699</v>
      </c>
      <c r="BL6" s="169">
        <f>CdTrp1!R17</f>
        <v>17.674418604651162</v>
      </c>
      <c r="BM6" s="169">
        <f>CdTrp1!S17</f>
        <v>17.674418604651162</v>
      </c>
      <c r="BN6" s="169">
        <f>CdTrp1!T17</f>
        <v>15.813953488372093</v>
      </c>
      <c r="BO6" s="169">
        <f>CdTrp1!U17</f>
        <v>13.953488372093023</v>
      </c>
      <c r="BP6" s="169">
        <f>CdTrp1!V17</f>
        <v>12.093023255813954</v>
      </c>
      <c r="BQ6" s="169">
        <f>CdTrp1!W17</f>
        <v>10.232558139534884</v>
      </c>
      <c r="BR6" s="169">
        <f>CdTrp1!X17</f>
        <v>9.3023255813953494</v>
      </c>
      <c r="BS6" s="169">
        <f>CdTrp1!Y17</f>
        <v>9.3023255813953494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588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775</v>
      </c>
      <c r="AT7" s="183" t="str">
        <f t="shared" si="1"/>
        <v>génisses 2/3 ans</v>
      </c>
      <c r="AU7" s="168"/>
      <c r="AV7" s="169">
        <f>CdTrp1!B18</f>
        <v>9.3023255813953494</v>
      </c>
      <c r="AW7" s="169">
        <f>CdTrp1!C18</f>
        <v>9.3023255813953494</v>
      </c>
      <c r="AX7" s="169">
        <f>CdTrp1!D18</f>
        <v>9.3023255813953494</v>
      </c>
      <c r="AY7" s="169">
        <f>CdTrp1!E18</f>
        <v>9.3023255813953494</v>
      </c>
      <c r="AZ7" s="169">
        <f>CdTrp1!F18</f>
        <v>9.3023255813953494</v>
      </c>
      <c r="BA7" s="169">
        <f>CdTrp1!G18</f>
        <v>9.3023255813953494</v>
      </c>
      <c r="BB7" s="169">
        <f>CdTrp1!H18</f>
        <v>9.3023255813953494</v>
      </c>
      <c r="BC7" s="169">
        <f>CdTrp1!I18</f>
        <v>9.3023255813953494</v>
      </c>
      <c r="BD7" s="169">
        <f>CdTrp1!J18</f>
        <v>9.3023255813953494</v>
      </c>
      <c r="BE7" s="169">
        <f>CdTrp1!K18</f>
        <v>9.3023255813953494</v>
      </c>
      <c r="BF7" s="169">
        <f>CdTrp1!L18</f>
        <v>9.3023255813953494</v>
      </c>
      <c r="BG7" s="169">
        <f>CdTrp1!M18</f>
        <v>9.3023255813953494</v>
      </c>
      <c r="BH7" s="169">
        <f>CdTrp1!N18</f>
        <v>9.3023255813953494</v>
      </c>
      <c r="BI7" s="169">
        <f>CdTrp1!O18</f>
        <v>9.3023255813953494</v>
      </c>
      <c r="BJ7" s="169">
        <f>CdTrp1!P18</f>
        <v>9.3023255813953494</v>
      </c>
      <c r="BK7" s="169">
        <f>CdTrp1!Q18</f>
        <v>9.3023255813953494</v>
      </c>
      <c r="BL7" s="169">
        <f>CdTrp1!R18</f>
        <v>9.3023255813953494</v>
      </c>
      <c r="BM7" s="169">
        <f>CdTrp1!S18</f>
        <v>9.3023255813953494</v>
      </c>
      <c r="BN7" s="169">
        <f>CdTrp1!T18</f>
        <v>9.3023255813953494</v>
      </c>
      <c r="BO7" s="169">
        <f>CdTrp1!U18</f>
        <v>9.3023255813953494</v>
      </c>
      <c r="BP7" s="169">
        <f>CdTrp1!V18</f>
        <v>9.3023255813953494</v>
      </c>
      <c r="BQ7" s="169">
        <f>CdTrp1!W18</f>
        <v>9.3023255813953494</v>
      </c>
      <c r="BR7" s="169">
        <f>CdTrp1!X18</f>
        <v>9.3023255813953494</v>
      </c>
      <c r="BS7" s="169">
        <f>CdTrp1!Y18</f>
        <v>9.3023255813953494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779</v>
      </c>
      <c r="B8" s="2"/>
      <c r="C8" s="2"/>
      <c r="D8" s="23"/>
      <c r="E8" s="23"/>
      <c r="AR8" s="182" t="s">
        <v>775</v>
      </c>
      <c r="AT8" s="183" t="str">
        <f t="shared" si="1"/>
        <v>tardive</v>
      </c>
      <c r="AU8" s="168"/>
      <c r="AV8" s="169">
        <f>CdTrp1!B19</f>
        <v>2.7906976744186047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10.232558139534884</v>
      </c>
      <c r="BM8" s="169">
        <f>CdTrp1!S19</f>
        <v>10.232558139534884</v>
      </c>
      <c r="BN8" s="169">
        <f>CdTrp1!T19</f>
        <v>10.232558139534884</v>
      </c>
      <c r="BO8" s="169">
        <f>CdTrp1!U19</f>
        <v>10.232558139534884</v>
      </c>
      <c r="BP8" s="169">
        <f>CdTrp1!V19</f>
        <v>10.232558139534884</v>
      </c>
      <c r="BQ8" s="169">
        <f>CdTrp1!W19</f>
        <v>10.232558139534884</v>
      </c>
      <c r="BR8" s="169">
        <f>CdTrp1!X19</f>
        <v>10.232558139534884</v>
      </c>
      <c r="BS8" s="169">
        <f>CdTrp1!Y19</f>
        <v>6.5116279069767442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567</v>
      </c>
      <c r="F9" s="169">
        <f>SUM(G9:AD9)</f>
        <v>1265.7237209302327</v>
      </c>
      <c r="G9" s="30">
        <f>AV102</f>
        <v>51.406372093023258</v>
      </c>
      <c r="H9" s="30">
        <f t="shared" ref="H9:AD9" si="4">AW102</f>
        <v>51.841348837209303</v>
      </c>
      <c r="I9" s="30">
        <f t="shared" si="4"/>
        <v>52.7113023255814</v>
      </c>
      <c r="J9" s="30">
        <f t="shared" si="4"/>
        <v>53.363767441860467</v>
      </c>
      <c r="K9" s="30">
        <f t="shared" si="4"/>
        <v>53.363767441860467</v>
      </c>
      <c r="L9" s="30">
        <f t="shared" si="4"/>
        <v>53.363767441860467</v>
      </c>
      <c r="M9" s="30">
        <f t="shared" si="4"/>
        <v>53.363767441860467</v>
      </c>
      <c r="N9" s="30">
        <f t="shared" si="4"/>
        <v>53.363767441860467</v>
      </c>
      <c r="O9" s="30">
        <f t="shared" si="4"/>
        <v>53.363767441860467</v>
      </c>
      <c r="P9" s="30">
        <f t="shared" si="4"/>
        <v>53.363767441860467</v>
      </c>
      <c r="Q9" s="30">
        <f t="shared" si="4"/>
        <v>52.928790697674415</v>
      </c>
      <c r="R9" s="30">
        <f t="shared" si="4"/>
        <v>53.363767441860467</v>
      </c>
      <c r="S9" s="30">
        <f t="shared" si="4"/>
        <v>53.363767441860467</v>
      </c>
      <c r="T9" s="30">
        <f t="shared" si="4"/>
        <v>53.363767441860467</v>
      </c>
      <c r="U9" s="30">
        <f t="shared" si="4"/>
        <v>53.363767441860467</v>
      </c>
      <c r="V9" s="30">
        <f t="shared" si="4"/>
        <v>53.146279069767445</v>
      </c>
      <c r="W9" s="30">
        <f t="shared" si="4"/>
        <v>52.928790697674415</v>
      </c>
      <c r="X9" s="30">
        <f t="shared" si="4"/>
        <v>52.928790697674415</v>
      </c>
      <c r="Y9" s="30">
        <f t="shared" si="4"/>
        <v>52.49381395348837</v>
      </c>
      <c r="Z9" s="30">
        <f t="shared" si="4"/>
        <v>52.276325581395355</v>
      </c>
      <c r="AA9" s="30">
        <f t="shared" si="4"/>
        <v>51.841348837209303</v>
      </c>
      <c r="AB9" s="30">
        <f t="shared" si="4"/>
        <v>51.62386046511628</v>
      </c>
      <c r="AC9" s="30">
        <f t="shared" si="4"/>
        <v>51.406372093023258</v>
      </c>
      <c r="AD9" s="30">
        <f t="shared" si="4"/>
        <v>51.188883720930235</v>
      </c>
      <c r="AR9" s="182" t="s">
        <v>775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581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775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588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775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775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780</v>
      </c>
      <c r="F13" s="169">
        <f t="shared" si="5"/>
        <v>1265.7237209302327</v>
      </c>
      <c r="G13" s="30">
        <f>SUM(G5:G11)</f>
        <v>51.406372093023258</v>
      </c>
      <c r="H13" s="30">
        <f t="shared" ref="H13:AD13" si="8">SUM(H5:H11)</f>
        <v>51.841348837209303</v>
      </c>
      <c r="I13" s="30">
        <f t="shared" si="8"/>
        <v>52.7113023255814</v>
      </c>
      <c r="J13" s="30">
        <f t="shared" si="8"/>
        <v>53.363767441860467</v>
      </c>
      <c r="K13" s="30">
        <f t="shared" si="8"/>
        <v>53.363767441860467</v>
      </c>
      <c r="L13" s="30">
        <f t="shared" si="8"/>
        <v>53.363767441860467</v>
      </c>
      <c r="M13" s="30">
        <f t="shared" si="8"/>
        <v>53.363767441860467</v>
      </c>
      <c r="N13" s="30">
        <f t="shared" si="8"/>
        <v>53.363767441860467</v>
      </c>
      <c r="O13" s="30">
        <f t="shared" si="8"/>
        <v>53.363767441860467</v>
      </c>
      <c r="P13" s="30">
        <f t="shared" si="8"/>
        <v>53.363767441860467</v>
      </c>
      <c r="Q13" s="30">
        <f t="shared" si="8"/>
        <v>52.928790697674415</v>
      </c>
      <c r="R13" s="30">
        <f t="shared" si="8"/>
        <v>53.363767441860467</v>
      </c>
      <c r="S13" s="30">
        <f t="shared" si="8"/>
        <v>53.363767441860467</v>
      </c>
      <c r="T13" s="30">
        <f t="shared" si="8"/>
        <v>53.363767441860467</v>
      </c>
      <c r="U13" s="30">
        <f t="shared" si="8"/>
        <v>53.363767441860467</v>
      </c>
      <c r="V13" s="30">
        <f t="shared" si="8"/>
        <v>53.146279069767445</v>
      </c>
      <c r="W13" s="30">
        <f t="shared" si="8"/>
        <v>52.928790697674415</v>
      </c>
      <c r="X13" s="30">
        <f t="shared" si="8"/>
        <v>52.928790697674415</v>
      </c>
      <c r="Y13" s="30">
        <f t="shared" si="8"/>
        <v>52.49381395348837</v>
      </c>
      <c r="Z13" s="30">
        <f t="shared" si="8"/>
        <v>52.276325581395355</v>
      </c>
      <c r="AA13" s="30">
        <f t="shared" si="8"/>
        <v>51.841348837209303</v>
      </c>
      <c r="AB13" s="30">
        <f t="shared" si="8"/>
        <v>51.62386046511628</v>
      </c>
      <c r="AC13" s="30">
        <f t="shared" si="8"/>
        <v>51.406372093023258</v>
      </c>
      <c r="AD13" s="30">
        <f t="shared" si="8"/>
        <v>51.188883720930235</v>
      </c>
      <c r="AR13" s="182" t="s">
        <v>775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775</v>
      </c>
      <c r="AT14" s="2" t="s">
        <v>781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782</v>
      </c>
      <c r="B15" s="167" t="s">
        <v>783</v>
      </c>
      <c r="C15" s="167" t="s">
        <v>784</v>
      </c>
      <c r="D15" s="168" t="s">
        <v>785</v>
      </c>
      <c r="E15" s="168" t="s">
        <v>786</v>
      </c>
      <c r="F15" s="167" t="s">
        <v>787</v>
      </c>
      <c r="H15" s="15"/>
      <c r="AR15" s="182"/>
      <c r="AT15" s="183" t="str">
        <f>AT26</f>
        <v>Vaches suitées au pâturage</v>
      </c>
      <c r="AV15" s="169">
        <f t="shared" ref="AV15:BS24" si="9">IF(AV4&gt;0,1,0)</f>
        <v>0</v>
      </c>
      <c r="AW15" s="169">
        <f t="shared" si="9"/>
        <v>0</v>
      </c>
      <c r="AX15" s="169">
        <f t="shared" si="9"/>
        <v>0</v>
      </c>
      <c r="AY15" s="169">
        <f t="shared" si="9"/>
        <v>0</v>
      </c>
      <c r="AZ15" s="169">
        <f t="shared" si="9"/>
        <v>0</v>
      </c>
      <c r="BA15" s="169">
        <f t="shared" si="9"/>
        <v>0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0</v>
      </c>
      <c r="BH15" s="169">
        <f t="shared" si="9"/>
        <v>0</v>
      </c>
      <c r="BI15" s="169">
        <f t="shared" si="9"/>
        <v>0</v>
      </c>
      <c r="BJ15" s="169">
        <f t="shared" si="9"/>
        <v>0</v>
      </c>
      <c r="BK15" s="169">
        <f t="shared" si="9"/>
        <v>0</v>
      </c>
      <c r="BL15" s="169">
        <f t="shared" si="9"/>
        <v>0</v>
      </c>
      <c r="BM15" s="169">
        <f t="shared" si="9"/>
        <v>0</v>
      </c>
      <c r="BN15" s="169">
        <f t="shared" si="9"/>
        <v>0</v>
      </c>
      <c r="BO15" s="169">
        <f t="shared" si="9"/>
        <v>0</v>
      </c>
      <c r="BP15" s="169">
        <f t="shared" si="9"/>
        <v>0</v>
      </c>
      <c r="BQ15" s="169">
        <f t="shared" si="9"/>
        <v>0</v>
      </c>
      <c r="BR15" s="169">
        <f t="shared" si="9"/>
        <v>0</v>
      </c>
      <c r="BS15" s="169">
        <f t="shared" si="9"/>
        <v>0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567</v>
      </c>
      <c r="B16" s="184">
        <f>Scénario!K56</f>
        <v>0</v>
      </c>
      <c r="C16" s="184">
        <f>VALUE(LEFT(Scénario!K57,1))</f>
        <v>1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788</v>
      </c>
      <c r="AR16" s="182"/>
      <c r="AT16" s="183" t="str">
        <f t="shared" ref="AT16:AT24" si="14">AT27</f>
        <v xml:space="preserve">Vaches lot principal 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581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renouvellement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588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génisses 2/3 ans</v>
      </c>
      <c r="AV18" s="169">
        <f t="shared" si="9"/>
        <v>1</v>
      </c>
      <c r="AW18" s="169">
        <f t="shared" si="9"/>
        <v>1</v>
      </c>
      <c r="AX18" s="169">
        <f t="shared" si="9"/>
        <v>1</v>
      </c>
      <c r="AY18" s="169">
        <f t="shared" si="9"/>
        <v>1</v>
      </c>
      <c r="AZ18" s="169">
        <f t="shared" si="9"/>
        <v>1</v>
      </c>
      <c r="BA18" s="169">
        <f t="shared" si="9"/>
        <v>1</v>
      </c>
      <c r="BB18" s="169">
        <f t="shared" si="9"/>
        <v>1</v>
      </c>
      <c r="BC18" s="169">
        <f t="shared" si="9"/>
        <v>1</v>
      </c>
      <c r="BD18" s="169">
        <f t="shared" si="9"/>
        <v>1</v>
      </c>
      <c r="BE18" s="169">
        <f t="shared" si="9"/>
        <v>1</v>
      </c>
      <c r="BF18" s="169">
        <f t="shared" si="9"/>
        <v>1</v>
      </c>
      <c r="BG18" s="169">
        <f t="shared" si="9"/>
        <v>1</v>
      </c>
      <c r="BH18" s="169">
        <f t="shared" si="9"/>
        <v>1</v>
      </c>
      <c r="BI18" s="169">
        <f t="shared" si="9"/>
        <v>1</v>
      </c>
      <c r="BJ18" s="169">
        <f t="shared" si="9"/>
        <v>1</v>
      </c>
      <c r="BK18" s="169">
        <f t="shared" si="9"/>
        <v>1</v>
      </c>
      <c r="BL18" s="169">
        <f t="shared" si="9"/>
        <v>1</v>
      </c>
      <c r="BM18" s="169">
        <f t="shared" si="9"/>
        <v>1</v>
      </c>
      <c r="BN18" s="169">
        <f t="shared" si="9"/>
        <v>1</v>
      </c>
      <c r="BO18" s="169">
        <f t="shared" si="9"/>
        <v>1</v>
      </c>
      <c r="BP18" s="169">
        <f t="shared" si="9"/>
        <v>1</v>
      </c>
      <c r="BQ18" s="169">
        <f t="shared" si="9"/>
        <v>1</v>
      </c>
      <c r="BR18" s="169">
        <f t="shared" si="9"/>
        <v>1</v>
      </c>
      <c r="BS18" s="169">
        <f t="shared" si="9"/>
        <v>1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789</v>
      </c>
      <c r="B19" s="167"/>
      <c r="C19" s="167"/>
      <c r="D19" s="168"/>
      <c r="E19" s="168"/>
      <c r="AR19" s="182"/>
      <c r="AT19" s="183" t="str">
        <f t="shared" si="14"/>
        <v>tardive</v>
      </c>
      <c r="AV19" s="169">
        <f t="shared" si="9"/>
        <v>1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1</v>
      </c>
      <c r="BM19" s="169">
        <f t="shared" si="9"/>
        <v>1</v>
      </c>
      <c r="BN19" s="169">
        <f t="shared" si="9"/>
        <v>1</v>
      </c>
      <c r="BO19" s="169">
        <f t="shared" si="9"/>
        <v>1</v>
      </c>
      <c r="BP19" s="169">
        <f t="shared" si="9"/>
        <v>1</v>
      </c>
      <c r="BQ19" s="169">
        <f t="shared" si="9"/>
        <v>1</v>
      </c>
      <c r="BR19" s="169">
        <f t="shared" si="9"/>
        <v>1</v>
      </c>
      <c r="BS19" s="169">
        <f t="shared" si="9"/>
        <v>1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567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581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588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790</v>
      </c>
      <c r="AU25" s="178"/>
      <c r="BZ25" s="185" t="s">
        <v>790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790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suitées au pâturage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791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 xml:space="preserve">Vaches lot principal </v>
      </c>
      <c r="AU27" s="186" t="str">
        <f>Scénario!K97</f>
        <v>fort</v>
      </c>
      <c r="AV27" s="169">
        <f t="shared" si="17"/>
        <v>2</v>
      </c>
      <c r="AW27" s="169">
        <f t="shared" si="17"/>
        <v>2</v>
      </c>
      <c r="AX27" s="169">
        <f t="shared" si="17"/>
        <v>2</v>
      </c>
      <c r="AY27" s="169">
        <f t="shared" si="17"/>
        <v>2</v>
      </c>
      <c r="AZ27" s="169">
        <f t="shared" si="17"/>
        <v>2</v>
      </c>
      <c r="BA27" s="169">
        <f t="shared" si="17"/>
        <v>2</v>
      </c>
      <c r="BB27" s="169">
        <f t="shared" si="17"/>
        <v>2</v>
      </c>
      <c r="BC27" s="169">
        <f t="shared" si="17"/>
        <v>2</v>
      </c>
      <c r="BD27" s="169">
        <f t="shared" si="17"/>
        <v>2</v>
      </c>
      <c r="BE27" s="169">
        <f t="shared" si="17"/>
        <v>2</v>
      </c>
      <c r="BF27" s="169">
        <f t="shared" si="17"/>
        <v>2</v>
      </c>
      <c r="BG27" s="169">
        <f t="shared" si="17"/>
        <v>2</v>
      </c>
      <c r="BH27" s="169">
        <f t="shared" si="17"/>
        <v>2</v>
      </c>
      <c r="BI27" s="169">
        <f t="shared" si="17"/>
        <v>2</v>
      </c>
      <c r="BJ27" s="169">
        <f t="shared" si="17"/>
        <v>2</v>
      </c>
      <c r="BK27" s="169">
        <f t="shared" si="17"/>
        <v>2</v>
      </c>
      <c r="BL27" s="169">
        <f t="shared" si="18"/>
        <v>2</v>
      </c>
      <c r="BM27" s="169">
        <f t="shared" si="18"/>
        <v>2</v>
      </c>
      <c r="BN27" s="169">
        <f t="shared" si="18"/>
        <v>2</v>
      </c>
      <c r="BO27" s="169">
        <f t="shared" si="18"/>
        <v>2</v>
      </c>
      <c r="BP27" s="169">
        <f t="shared" si="18"/>
        <v>2</v>
      </c>
      <c r="BQ27" s="169">
        <f t="shared" si="18"/>
        <v>2</v>
      </c>
      <c r="BR27" s="169">
        <f t="shared" si="18"/>
        <v>2</v>
      </c>
      <c r="BS27" s="169">
        <f t="shared" si="18"/>
        <v>2</v>
      </c>
      <c r="BU27">
        <v>2</v>
      </c>
      <c r="BV27" t="s">
        <v>637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775</v>
      </c>
      <c r="AT28" s="183" t="str">
        <f>CdTrp1!A17</f>
        <v>Génisses renouvellement</v>
      </c>
      <c r="AU28" s="186" t="str">
        <f>Scénario!K98</f>
        <v>faible</v>
      </c>
      <c r="AV28" s="169">
        <f t="shared" si="17"/>
        <v>1</v>
      </c>
      <c r="AW28" s="169">
        <f t="shared" si="17"/>
        <v>1</v>
      </c>
      <c r="AX28" s="169">
        <f t="shared" si="17"/>
        <v>1</v>
      </c>
      <c r="AY28" s="169">
        <f t="shared" si="17"/>
        <v>1</v>
      </c>
      <c r="AZ28" s="169">
        <f t="shared" si="17"/>
        <v>1</v>
      </c>
      <c r="BA28" s="169">
        <f t="shared" si="17"/>
        <v>1</v>
      </c>
      <c r="BB28" s="169">
        <f t="shared" si="17"/>
        <v>1</v>
      </c>
      <c r="BC28" s="169">
        <f t="shared" si="17"/>
        <v>1</v>
      </c>
      <c r="BD28" s="169">
        <f t="shared" si="17"/>
        <v>1</v>
      </c>
      <c r="BE28" s="169">
        <f t="shared" si="17"/>
        <v>1</v>
      </c>
      <c r="BF28" s="169">
        <f t="shared" si="17"/>
        <v>1</v>
      </c>
      <c r="BG28" s="169">
        <f t="shared" si="17"/>
        <v>1</v>
      </c>
      <c r="BH28" s="169">
        <f t="shared" si="17"/>
        <v>1</v>
      </c>
      <c r="BI28" s="169">
        <f t="shared" si="17"/>
        <v>1</v>
      </c>
      <c r="BJ28" s="169">
        <f t="shared" si="17"/>
        <v>1</v>
      </c>
      <c r="BK28" s="169">
        <f t="shared" si="17"/>
        <v>1</v>
      </c>
      <c r="BL28" s="169">
        <f t="shared" si="18"/>
        <v>1</v>
      </c>
      <c r="BM28" s="169">
        <f t="shared" si="18"/>
        <v>1</v>
      </c>
      <c r="BN28" s="169">
        <f t="shared" si="18"/>
        <v>1</v>
      </c>
      <c r="BO28" s="169">
        <f t="shared" si="18"/>
        <v>1</v>
      </c>
      <c r="BP28" s="169">
        <f t="shared" si="18"/>
        <v>1</v>
      </c>
      <c r="BQ28" s="169">
        <f t="shared" si="18"/>
        <v>1</v>
      </c>
      <c r="BR28" s="169">
        <f t="shared" si="18"/>
        <v>1</v>
      </c>
      <c r="BS28" s="169">
        <f t="shared" si="18"/>
        <v>1</v>
      </c>
      <c r="BU28">
        <v>1</v>
      </c>
      <c r="BV28" t="s">
        <v>638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775</v>
      </c>
      <c r="AT29" s="183" t="str">
        <f>CdTrp1!A18</f>
        <v>génisses 2/3 ans</v>
      </c>
      <c r="AU29" s="186" t="str">
        <f>Scénario!K99</f>
        <v>faible</v>
      </c>
      <c r="AV29" s="169">
        <f t="shared" si="17"/>
        <v>1</v>
      </c>
      <c r="AW29" s="169">
        <f t="shared" si="17"/>
        <v>1</v>
      </c>
      <c r="AX29" s="169">
        <f t="shared" si="17"/>
        <v>1</v>
      </c>
      <c r="AY29" s="169">
        <f t="shared" si="17"/>
        <v>1</v>
      </c>
      <c r="AZ29" s="169">
        <f t="shared" si="17"/>
        <v>1</v>
      </c>
      <c r="BA29" s="169">
        <f t="shared" si="17"/>
        <v>1</v>
      </c>
      <c r="BB29" s="169">
        <f t="shared" si="17"/>
        <v>1</v>
      </c>
      <c r="BC29" s="169">
        <f t="shared" si="17"/>
        <v>1</v>
      </c>
      <c r="BD29" s="169">
        <f t="shared" si="17"/>
        <v>1</v>
      </c>
      <c r="BE29" s="169">
        <f t="shared" si="17"/>
        <v>1</v>
      </c>
      <c r="BF29" s="169">
        <f t="shared" si="17"/>
        <v>1</v>
      </c>
      <c r="BG29" s="169">
        <f t="shared" si="17"/>
        <v>1</v>
      </c>
      <c r="BH29" s="169">
        <f t="shared" si="17"/>
        <v>1</v>
      </c>
      <c r="BI29" s="169">
        <f t="shared" si="17"/>
        <v>1</v>
      </c>
      <c r="BJ29" s="169">
        <f t="shared" si="17"/>
        <v>1</v>
      </c>
      <c r="BK29" s="169">
        <f t="shared" si="17"/>
        <v>1</v>
      </c>
      <c r="BL29" s="169">
        <f t="shared" si="18"/>
        <v>1</v>
      </c>
      <c r="BM29" s="169">
        <f t="shared" si="18"/>
        <v>1</v>
      </c>
      <c r="BN29" s="169">
        <f t="shared" si="18"/>
        <v>1</v>
      </c>
      <c r="BO29" s="169">
        <f t="shared" si="18"/>
        <v>1</v>
      </c>
      <c r="BP29" s="169">
        <f t="shared" si="18"/>
        <v>1</v>
      </c>
      <c r="BQ29" s="169">
        <f t="shared" si="18"/>
        <v>1</v>
      </c>
      <c r="BR29" s="169">
        <f t="shared" si="18"/>
        <v>1</v>
      </c>
      <c r="BS29" s="169">
        <f t="shared" si="18"/>
        <v>1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792</v>
      </c>
      <c r="B30" s="187" t="s">
        <v>793</v>
      </c>
      <c r="C30" s="187" t="s">
        <v>794</v>
      </c>
      <c r="D30" s="188"/>
      <c r="E30" s="188"/>
      <c r="AR30" s="182" t="s">
        <v>775</v>
      </c>
      <c r="AT30" s="183" t="str">
        <f>CdTrp1!A19</f>
        <v>tardive</v>
      </c>
      <c r="AU30" s="186" t="str">
        <f>Scénario!K100</f>
        <v>faible</v>
      </c>
      <c r="AV30" s="169">
        <f t="shared" si="17"/>
        <v>1</v>
      </c>
      <c r="AW30" s="169">
        <f t="shared" si="17"/>
        <v>1</v>
      </c>
      <c r="AX30" s="169">
        <f t="shared" si="17"/>
        <v>1</v>
      </c>
      <c r="AY30" s="169">
        <f t="shared" si="17"/>
        <v>1</v>
      </c>
      <c r="AZ30" s="169">
        <f t="shared" si="17"/>
        <v>1</v>
      </c>
      <c r="BA30" s="169">
        <f t="shared" si="17"/>
        <v>1</v>
      </c>
      <c r="BB30" s="169">
        <f t="shared" si="17"/>
        <v>1</v>
      </c>
      <c r="BC30" s="169">
        <f t="shared" si="17"/>
        <v>1</v>
      </c>
      <c r="BD30" s="169">
        <f t="shared" si="17"/>
        <v>1</v>
      </c>
      <c r="BE30" s="169">
        <f t="shared" si="17"/>
        <v>1</v>
      </c>
      <c r="BF30" s="169">
        <f t="shared" si="17"/>
        <v>1</v>
      </c>
      <c r="BG30" s="169">
        <f t="shared" si="17"/>
        <v>1</v>
      </c>
      <c r="BH30" s="169">
        <f t="shared" si="17"/>
        <v>1</v>
      </c>
      <c r="BI30" s="169">
        <f t="shared" si="17"/>
        <v>1</v>
      </c>
      <c r="BJ30" s="169">
        <f t="shared" si="17"/>
        <v>1</v>
      </c>
      <c r="BK30" s="169">
        <f t="shared" si="17"/>
        <v>1</v>
      </c>
      <c r="BL30" s="169">
        <f t="shared" si="18"/>
        <v>1</v>
      </c>
      <c r="BM30" s="169">
        <f t="shared" si="18"/>
        <v>1</v>
      </c>
      <c r="BN30" s="169">
        <f t="shared" si="18"/>
        <v>1</v>
      </c>
      <c r="BO30" s="169">
        <f t="shared" si="18"/>
        <v>1</v>
      </c>
      <c r="BP30" s="169">
        <f t="shared" si="18"/>
        <v>1</v>
      </c>
      <c r="BQ30" s="169">
        <f t="shared" si="18"/>
        <v>1</v>
      </c>
      <c r="BR30" s="169">
        <f t="shared" si="18"/>
        <v>1</v>
      </c>
      <c r="BS30" s="169">
        <f t="shared" si="18"/>
        <v>1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567</v>
      </c>
      <c r="B31" s="169">
        <f>Troupeau!B18</f>
        <v>34</v>
      </c>
      <c r="C31" s="184">
        <f>IF(B31&gt;0,VLOOKUP(Troupeau!B3,[1]Trav!$A$96:$B$99,2),0)</f>
        <v>360</v>
      </c>
      <c r="D31" s="168"/>
      <c r="E31" s="168"/>
      <c r="F31" s="169">
        <f>B31*C31/60</f>
        <v>204</v>
      </c>
      <c r="AR31" s="182" t="s">
        <v>775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581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775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588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775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795</v>
      </c>
      <c r="B34" s="187" t="s">
        <v>796</v>
      </c>
      <c r="C34" s="187" t="s">
        <v>797</v>
      </c>
      <c r="D34" s="187" t="s">
        <v>798</v>
      </c>
      <c r="E34" s="188"/>
      <c r="F34" s="33"/>
      <c r="AR34" s="182" t="s">
        <v>775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567</v>
      </c>
      <c r="B35" s="184">
        <f>IF(Troupeau!B3="BL",[1]Trav!$F$102,IF(Troupeau!B3="OL",[1]Trav!$F$103,0))</f>
        <v>0</v>
      </c>
      <c r="C35" s="169">
        <f>Troupeau!B19</f>
        <v>0</v>
      </c>
      <c r="D35" s="184">
        <f>IF(Troupeau!B3="OL",[1]Trav!$B$103,0)</f>
        <v>0</v>
      </c>
      <c r="E35" s="168"/>
      <c r="F35" s="169">
        <f>B35+C35*D35</f>
        <v>0</v>
      </c>
      <c r="AR35" s="182" t="s">
        <v>775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581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775</v>
      </c>
      <c r="AT36" s="2" t="s">
        <v>751</v>
      </c>
      <c r="BZ36" s="2" t="s">
        <v>751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751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588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775</v>
      </c>
      <c r="AT37" s="183" t="str">
        <f>CdTrp1!$A52</f>
        <v>Vaches suitées au pâturage</v>
      </c>
      <c r="AU37" s="32"/>
      <c r="AV37" s="169">
        <f>IF(CdTrp1!B52=1,3,IF(CdTrp1!B52=0.5,2,IF(CdTrp1!B52=0,1,0)))</f>
        <v>0</v>
      </c>
      <c r="AW37" s="169">
        <f>IF(CdTrp1!C52=1,3,IF(CdTrp1!C52=0.5,2,IF(CdTrp1!C52=0,1,0)))</f>
        <v>0</v>
      </c>
      <c r="AX37" s="169">
        <f>IF(CdTrp1!D52=1,3,IF(CdTrp1!D52=0.5,2,IF(CdTrp1!D52=0,1,0)))</f>
        <v>0</v>
      </c>
      <c r="AY37" s="169">
        <f>IF(CdTrp1!E52=1,3,IF(CdTrp1!E52=0.5,2,IF(CdTrp1!E52=0,1,0)))</f>
        <v>0</v>
      </c>
      <c r="AZ37" s="169">
        <f>IF(CdTrp1!F52=1,3,IF(CdTrp1!F52=0.5,2,IF(CdTrp1!F52=0,1,0)))</f>
        <v>0</v>
      </c>
      <c r="BA37" s="169">
        <f>IF(CdTrp1!G52=1,3,IF(CdTrp1!G52=0.5,2,IF(CdTrp1!G52=0,1,0)))</f>
        <v>0</v>
      </c>
      <c r="BB37" s="169">
        <f>IF(CdTrp1!H52=1,3,IF(CdTrp1!H52=0.5,2,IF(CdTrp1!H52=0,1,0)))</f>
        <v>3</v>
      </c>
      <c r="BC37" s="169">
        <f>IF(CdTrp1!I52=1,3,IF(CdTrp1!I52=0.5,2,IF(CdTrp1!I52=0,1,0)))</f>
        <v>3</v>
      </c>
      <c r="BD37" s="169">
        <f>IF(CdTrp1!J52=1,3,IF(CdTrp1!J52=0.5,2,IF(CdTrp1!J52=0,1,0)))</f>
        <v>3</v>
      </c>
      <c r="BE37" s="169">
        <f>IF(CdTrp1!K52=1,3,IF(CdTrp1!K52=0.5,2,IF(CdTrp1!K52=0,1,0)))</f>
        <v>3</v>
      </c>
      <c r="BF37" s="169">
        <f>IF(CdTrp1!L52=1,3,IF(CdTrp1!L52=0.5,2,IF(CdTrp1!L52=0,1,0)))</f>
        <v>0</v>
      </c>
      <c r="BG37" s="169">
        <f>IF(CdTrp1!M52=1,3,IF(CdTrp1!M52=0.5,2,IF(CdTrp1!M52=0,1,0)))</f>
        <v>0</v>
      </c>
      <c r="BH37" s="169">
        <f>IF(CdTrp1!N52=1,3,IF(CdTrp1!N52=0.5,2,IF(CdTrp1!N52=0,1,0)))</f>
        <v>0</v>
      </c>
      <c r="BI37" s="169">
        <f>IF(CdTrp1!O52=1,3,IF(CdTrp1!O52=0.5,2,IF(CdTrp1!O52=0,1,0)))</f>
        <v>0</v>
      </c>
      <c r="BJ37" s="169">
        <f>IF(CdTrp1!P52=1,3,IF(CdTrp1!P52=0.5,2,IF(CdTrp1!P52=0,1,0)))</f>
        <v>0</v>
      </c>
      <c r="BK37" s="169">
        <f>IF(CdTrp1!Q52=1,3,IF(CdTrp1!Q52=0.5,2,IF(CdTrp1!Q52=0,1,0)))</f>
        <v>0</v>
      </c>
      <c r="BL37" s="169">
        <f>IF(CdTrp1!R52=1,3,IF(CdTrp1!R52=0.5,2,IF(CdTrp1!R52=0,1,0)))</f>
        <v>0</v>
      </c>
      <c r="BM37" s="169">
        <f>IF(CdTrp1!S52=1,3,IF(CdTrp1!S52=0.5,2,IF(CdTrp1!S52=0,1,0)))</f>
        <v>0</v>
      </c>
      <c r="BN37" s="169">
        <f>IF(CdTrp1!T52=1,3,IF(CdTrp1!T52=0.5,2,IF(CdTrp1!T52=0,1,0)))</f>
        <v>0</v>
      </c>
      <c r="BO37" s="169">
        <f>IF(CdTrp1!U52=1,3,IF(CdTrp1!U52=0.5,2,IF(CdTrp1!U52=0,1,0)))</f>
        <v>0</v>
      </c>
      <c r="BP37" s="169">
        <f>IF(CdTrp1!V52=1,3,IF(CdTrp1!V52=0.5,2,IF(CdTrp1!V52=0,1,0)))</f>
        <v>0</v>
      </c>
      <c r="BQ37" s="169">
        <f>IF(CdTrp1!W52=1,3,IF(CdTrp1!W52=0.5,2,IF(CdTrp1!W52=0,1,0)))</f>
        <v>0</v>
      </c>
      <c r="BR37" s="169">
        <f>IF(CdTrp1!X52=1,3,IF(CdTrp1!X52=0.5,2,IF(CdTrp1!X52=0,1,0)))</f>
        <v>0</v>
      </c>
      <c r="BS37" s="169">
        <f>IF(CdTrp1!Y52=1,3,IF(CdTrp1!Y52=0.5,2,IF(CdTrp1!Y52=0,1,0)))</f>
        <v>0</v>
      </c>
      <c r="BU37">
        <v>3</v>
      </c>
      <c r="BV37" t="s">
        <v>799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800</v>
      </c>
      <c r="B38" s="189" t="s">
        <v>801</v>
      </c>
      <c r="C38" s="189" t="s">
        <v>802</v>
      </c>
      <c r="D38" s="188"/>
      <c r="E38" s="188"/>
      <c r="F38" s="33"/>
      <c r="AR38" s="182" t="s">
        <v>775</v>
      </c>
      <c r="AT38" s="257" t="str">
        <f>CdTrp1!$A53</f>
        <v xml:space="preserve">Vaches lot principal 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3</v>
      </c>
      <c r="BC38" s="169">
        <f>IF(CdTrp1!I53=1,3,IF(CdTrp1!I53=0.5,2,IF(CdTrp1!I53=0,1,0)))</f>
        <v>3</v>
      </c>
      <c r="BD38" s="169">
        <f>IF(CdTrp1!J53=1,3,IF(CdTrp1!J53=0.5,2,IF(CdTrp1!J53=0,1,0)))</f>
        <v>3</v>
      </c>
      <c r="BE38" s="169">
        <f>IF(CdTrp1!K53=1,3,IF(CdTrp1!K53=0.5,2,IF(CdTrp1!K53=0,1,0)))</f>
        <v>3</v>
      </c>
      <c r="BF38" s="169">
        <f>IF(CdTrp1!L53=1,3,IF(CdTrp1!L53=0.5,2,IF(CdTrp1!L53=0,1,0)))</f>
        <v>3</v>
      </c>
      <c r="BG38" s="169">
        <f>IF(CdTrp1!M53=1,3,IF(CdTrp1!M53=0.5,2,IF(CdTrp1!M53=0,1,0)))</f>
        <v>3</v>
      </c>
      <c r="BH38" s="169">
        <f>IF(CdTrp1!N53=1,3,IF(CdTrp1!N53=0.5,2,IF(CdTrp1!N53=0,1,0)))</f>
        <v>3</v>
      </c>
      <c r="BI38" s="169">
        <f>IF(CdTrp1!O53=1,3,IF(CdTrp1!O53=0.5,2,IF(CdTrp1!O53=0,1,0)))</f>
        <v>3</v>
      </c>
      <c r="BJ38" s="169">
        <f>IF(CdTrp1!P53=1,3,IF(CdTrp1!P53=0.5,2,IF(CdTrp1!P53=0,1,0)))</f>
        <v>3</v>
      </c>
      <c r="BK38" s="169">
        <f>IF(CdTrp1!Q53=1,3,IF(CdTrp1!Q53=0.5,2,IF(CdTrp1!Q53=0,1,0)))</f>
        <v>3</v>
      </c>
      <c r="BL38" s="169">
        <f>IF(CdTrp1!R53=1,3,IF(CdTrp1!R53=0.5,2,IF(CdTrp1!R53=0,1,0)))</f>
        <v>3</v>
      </c>
      <c r="BM38" s="169">
        <f>IF(CdTrp1!S53=1,3,IF(CdTrp1!S53=0.5,2,IF(CdTrp1!S53=0,1,0)))</f>
        <v>3</v>
      </c>
      <c r="BN38" s="169">
        <f>IF(CdTrp1!T53=1,3,IF(CdTrp1!T53=0.5,2,IF(CdTrp1!T53=0,1,0)))</f>
        <v>3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803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567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775</v>
      </c>
      <c r="AT39" s="257" t="str">
        <f>CdTrp1!$A54</f>
        <v>Génisses renouvellement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3</v>
      </c>
      <c r="BF39" s="169">
        <f>IF(CdTrp1!L54=1,3,IF(CdTrp1!L54=0.5,2,IF(CdTrp1!L54=0,1,0)))</f>
        <v>3</v>
      </c>
      <c r="BG39" s="169">
        <f>IF(CdTrp1!M54=1,3,IF(CdTrp1!M54=0.5,2,IF(CdTrp1!M54=0,1,0)))</f>
        <v>3</v>
      </c>
      <c r="BH39" s="169">
        <f>IF(CdTrp1!N54=1,3,IF(CdTrp1!N54=0.5,2,IF(CdTrp1!N54=0,1,0)))</f>
        <v>3</v>
      </c>
      <c r="BI39" s="169">
        <f>IF(CdTrp1!O54=1,3,IF(CdTrp1!O54=0.5,2,IF(CdTrp1!O54=0,1,0)))</f>
        <v>3</v>
      </c>
      <c r="BJ39" s="169">
        <f>IF(CdTrp1!P54=1,3,IF(CdTrp1!P54=0.5,2,IF(CdTrp1!P54=0,1,0)))</f>
        <v>3</v>
      </c>
      <c r="BK39" s="169">
        <f>IF(CdTrp1!Q54=1,3,IF(CdTrp1!Q54=0.5,2,IF(CdTrp1!Q54=0,1,0)))</f>
        <v>3</v>
      </c>
      <c r="BL39" s="169">
        <f>IF(CdTrp1!R54=1,3,IF(CdTrp1!R54=0.5,2,IF(CdTrp1!R54=0,1,0)))</f>
        <v>3</v>
      </c>
      <c r="BM39" s="169">
        <f>IF(CdTrp1!S54=1,3,IF(CdTrp1!S54=0.5,2,IF(CdTrp1!S54=0,1,0)))</f>
        <v>3</v>
      </c>
      <c r="BN39" s="169">
        <f>IF(CdTrp1!T54=1,3,IF(CdTrp1!T54=0.5,2,IF(CdTrp1!T54=0,1,0)))</f>
        <v>3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804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775</v>
      </c>
      <c r="AT40" s="183" t="str">
        <f>CdTrp1!$A55</f>
        <v>génisses 2/3 ans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3</v>
      </c>
      <c r="BB40" s="169">
        <f>IF(CdTrp1!H55=1,3,IF(CdTrp1!H55=0.5,2,IF(CdTrp1!H55=0,1,0)))</f>
        <v>3</v>
      </c>
      <c r="BC40" s="169">
        <f>IF(CdTrp1!I55=1,3,IF(CdTrp1!I55=0.5,2,IF(CdTrp1!I55=0,1,0)))</f>
        <v>3</v>
      </c>
      <c r="BD40" s="169">
        <f>IF(CdTrp1!J55=1,3,IF(CdTrp1!J55=0.5,2,IF(CdTrp1!J55=0,1,0)))</f>
        <v>3</v>
      </c>
      <c r="BE40" s="169">
        <f>IF(CdTrp1!K55=1,3,IF(CdTrp1!K55=0.5,2,IF(CdTrp1!K55=0,1,0)))</f>
        <v>3</v>
      </c>
      <c r="BF40" s="169">
        <f>IF(CdTrp1!L55=1,3,IF(CdTrp1!L55=0.5,2,IF(CdTrp1!L55=0,1,0)))</f>
        <v>3</v>
      </c>
      <c r="BG40" s="169">
        <f>IF(CdTrp1!M55=1,3,IF(CdTrp1!M55=0.5,2,IF(CdTrp1!M55=0,1,0)))</f>
        <v>3</v>
      </c>
      <c r="BH40" s="169">
        <f>IF(CdTrp1!N55=1,3,IF(CdTrp1!N55=0.5,2,IF(CdTrp1!N55=0,1,0)))</f>
        <v>3</v>
      </c>
      <c r="BI40" s="169">
        <f>IF(CdTrp1!O55=1,3,IF(CdTrp1!O55=0.5,2,IF(CdTrp1!O55=0,1,0)))</f>
        <v>3</v>
      </c>
      <c r="BJ40" s="169">
        <f>IF(CdTrp1!P55=1,3,IF(CdTrp1!P55=0.5,2,IF(CdTrp1!P55=0,1,0)))</f>
        <v>3</v>
      </c>
      <c r="BK40" s="169">
        <f>IF(CdTrp1!Q55=1,3,IF(CdTrp1!Q55=0.5,2,IF(CdTrp1!Q55=0,1,0)))</f>
        <v>3</v>
      </c>
      <c r="BL40" s="169">
        <f>IF(CdTrp1!R55=1,3,IF(CdTrp1!R55=0.5,2,IF(CdTrp1!R55=0,1,0)))</f>
        <v>3</v>
      </c>
      <c r="BM40" s="169">
        <f>IF(CdTrp1!S55=1,3,IF(CdTrp1!S55=0.5,2,IF(CdTrp1!S55=0,1,0)))</f>
        <v>3</v>
      </c>
      <c r="BN40" s="169">
        <f>IF(CdTrp1!T55=1,3,IF(CdTrp1!T55=0.5,2,IF(CdTrp1!T55=0,1,0)))</f>
        <v>3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775</v>
      </c>
      <c r="AT41" s="257" t="str">
        <f>CdTrp1!$A56</f>
        <v>tardive</v>
      </c>
      <c r="AU41" s="32"/>
      <c r="AV41" s="169">
        <f>IF(CdTrp1!B56=1,3,IF(CdTrp1!B56=0.5,2,IF(CdTrp1!B56=0,1,0)))</f>
        <v>3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0</v>
      </c>
      <c r="BH41" s="169">
        <f>IF(CdTrp1!N56=1,3,IF(CdTrp1!N56=0.5,2,IF(CdTrp1!N56=0,1,0)))</f>
        <v>0</v>
      </c>
      <c r="BI41" s="169">
        <f>IF(CdTrp1!O56=1,3,IF(CdTrp1!O56=0.5,2,IF(CdTrp1!O56=0,1,0)))</f>
        <v>0</v>
      </c>
      <c r="BJ41" s="169">
        <f>IF(CdTrp1!P56=1,3,IF(CdTrp1!P56=0.5,2,IF(CdTrp1!P56=0,1,0)))</f>
        <v>0</v>
      </c>
      <c r="BK41" s="169">
        <f>IF(CdTrp1!Q56=1,3,IF(CdTrp1!Q56=0.5,2,IF(CdTrp1!Q56=0,1,0)))</f>
        <v>0</v>
      </c>
      <c r="BL41" s="169">
        <f>IF(CdTrp1!R56=1,3,IF(CdTrp1!R56=0.5,2,IF(CdTrp1!R56=0,1,0)))</f>
        <v>3</v>
      </c>
      <c r="BM41" s="169">
        <f>IF(CdTrp1!S56=1,3,IF(CdTrp1!S56=0.5,2,IF(CdTrp1!S56=0,1,0)))</f>
        <v>3</v>
      </c>
      <c r="BN41" s="169">
        <f>IF(CdTrp1!T56=1,3,IF(CdTrp1!T56=0.5,2,IF(CdTrp1!T56=0,1,0)))</f>
        <v>3</v>
      </c>
      <c r="BO41" s="169">
        <f>IF(CdTrp1!U56=1,3,IF(CdTrp1!U56=0.5,2,IF(CdTrp1!U56=0,1,0)))</f>
        <v>3</v>
      </c>
      <c r="BP41" s="169">
        <f>IF(CdTrp1!V56=1,3,IF(CdTrp1!V56=0.5,2,IF(CdTrp1!V56=0,1,0)))</f>
        <v>3</v>
      </c>
      <c r="BQ41" s="169">
        <f>IF(CdTrp1!W56=1,3,IF(CdTrp1!W56=0.5,2,IF(CdTrp1!W56=0,1,0)))</f>
        <v>3</v>
      </c>
      <c r="BR41" s="169">
        <f>IF(CdTrp1!X56=1,3,IF(CdTrp1!X56=0.5,2,IF(CdTrp1!X56=0,1,0)))</f>
        <v>3</v>
      </c>
      <c r="BS41" s="169">
        <f>IF(CdTrp1!Y56=1,3,IF(CdTrp1!Y56=0.5,2,IF(CdTrp1!Y56=0,1,0)))</f>
        <v>3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805</v>
      </c>
      <c r="B42" s="2"/>
      <c r="F42" s="33"/>
      <c r="AR42" s="182" t="s">
        <v>775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567</v>
      </c>
      <c r="AR43" s="182" t="s">
        <v>775</v>
      </c>
      <c r="AT43" s="257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581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775</v>
      </c>
      <c r="AT44" s="257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588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775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775</v>
      </c>
      <c r="AT46" s="257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775</v>
      </c>
      <c r="AT47" s="2" t="s">
        <v>806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806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806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807</v>
      </c>
      <c r="AR48" s="182" t="s">
        <v>775</v>
      </c>
      <c r="AT48" s="183" t="str">
        <f>AT37</f>
        <v>Vaches suitées au pâturage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0</v>
      </c>
      <c r="BC48" s="169">
        <f>IF(CdTrp1!I76=1,1,IF(CdTrp1!I76=2,2,IF(CdTrp1!I76=3,2,0)))</f>
        <v>0</v>
      </c>
      <c r="BD48" s="169">
        <f>IF(CdTrp1!J76=1,1,IF(CdTrp1!J76=2,2,IF(CdTrp1!J76=3,2,0)))</f>
        <v>0</v>
      </c>
      <c r="BE48" s="169">
        <f>IF(CdTrp1!K76=1,1,IF(CdTrp1!K76=2,2,IF(CdTrp1!K76=3,2,0)))</f>
        <v>0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217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808</v>
      </c>
      <c r="B49" s="167" t="s">
        <v>51</v>
      </c>
      <c r="C49" t="s">
        <v>809</v>
      </c>
      <c r="AR49" s="182" t="s">
        <v>775</v>
      </c>
      <c r="AT49" s="183" t="str">
        <f t="shared" ref="AT49:AT57" si="31">AT38</f>
        <v xml:space="preserve">Vaches lot principal 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0</v>
      </c>
      <c r="BB49" s="169">
        <f>IF(CdTrp1!H77=1,1,IF(CdTrp1!H77=2,2,IF(CdTrp1!H77=3,2,0)))</f>
        <v>0</v>
      </c>
      <c r="BC49" s="169">
        <f>IF(CdTrp1!I77=1,1,IF(CdTrp1!I77=2,2,IF(CdTrp1!I77=3,2,0)))</f>
        <v>0</v>
      </c>
      <c r="BD49" s="169">
        <f>IF(CdTrp1!J77=1,1,IF(CdTrp1!J77=2,2,IF(CdTrp1!J77=3,2,0)))</f>
        <v>0</v>
      </c>
      <c r="BE49" s="169">
        <f>IF(CdTrp1!K77=1,1,IF(CdTrp1!K77=2,2,IF(CdTrp1!K77=3,2,0)))</f>
        <v>0</v>
      </c>
      <c r="BF49" s="169">
        <f>IF(CdTrp1!L77=1,1,IF(CdTrp1!L77=2,2,IF(CdTrp1!L77=3,2,0)))</f>
        <v>0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0</v>
      </c>
      <c r="BN49" s="169">
        <f>IF(CdTrp1!T77=1,1,IF(CdTrp1!T77=2,2,IF(CdTrp1!T77=3,2,0)))</f>
        <v>0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810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811</v>
      </c>
      <c r="B50" s="169">
        <f>Scénario!K35+Scénario!K36</f>
        <v>0</v>
      </c>
      <c r="C50" s="184">
        <f>IF(B50&gt;[1]Trav!$E$116,[1]Trav!C116,[1]Trav!B116)</f>
        <v>11</v>
      </c>
      <c r="E50" s="168"/>
      <c r="F50" s="169">
        <f>ROUND(B50*C50,0)</f>
        <v>0</v>
      </c>
      <c r="AR50" s="182" t="s">
        <v>775</v>
      </c>
      <c r="AT50" s="183" t="str">
        <f t="shared" si="31"/>
        <v>Génisses renouvellement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812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813</v>
      </c>
      <c r="B51" s="169">
        <f>Scénario!K34</f>
        <v>2.1</v>
      </c>
      <c r="C51" s="184">
        <f>IF(B51&gt;[1]Trav!E117,[1]Trav!C117,[1]Trav!B117)</f>
        <v>15.7</v>
      </c>
      <c r="E51" s="168"/>
      <c r="F51" s="169">
        <f t="shared" ref="F51:F59" si="32">ROUND(B51*C51,0)</f>
        <v>33</v>
      </c>
      <c r="AR51" s="182" t="s">
        <v>775</v>
      </c>
      <c r="AT51" s="183" t="str">
        <f t="shared" si="31"/>
        <v>génisses 2/3 ans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814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815</v>
      </c>
      <c r="B52" s="169">
        <f>Scénario!K40/[1]Trav!$B$124</f>
        <v>0.15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775</v>
      </c>
      <c r="AT52" s="183" t="str">
        <f t="shared" si="31"/>
        <v>tardive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816</v>
      </c>
      <c r="B53" s="169">
        <f>Scénario!K42</f>
        <v>0</v>
      </c>
      <c r="C53" s="184">
        <f>IF(B53&gt;[1]Trav!E118,[1]Trav!C118,[1]Trav!B118)</f>
        <v>3.7</v>
      </c>
      <c r="D53"/>
      <c r="E53" s="168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775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817</v>
      </c>
      <c r="B54" s="169">
        <f>SUM(Scénario!K40:K42)</f>
        <v>17.600000000000001</v>
      </c>
      <c r="C54" s="184">
        <f>IF(B54&gt;[1]Trav!E119,[1]Trav!C119,[1]Trav!B119)</f>
        <v>1.4</v>
      </c>
      <c r="D54"/>
      <c r="E54" s="168"/>
      <c r="F54" s="169">
        <f t="shared" si="32"/>
        <v>25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775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818</v>
      </c>
      <c r="B55" s="169">
        <f>Scénario!M28*(1-Scénario!K31/100)</f>
        <v>14.080000000000002</v>
      </c>
      <c r="C55" s="184">
        <f>IF(B55&gt;[1]Trav!E121,[1]Trav!C121,[1]Trav!B121)</f>
        <v>7.2</v>
      </c>
      <c r="D55"/>
      <c r="E55" s="168"/>
      <c r="F55" s="169">
        <f t="shared" si="32"/>
        <v>101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775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819</v>
      </c>
      <c r="B56" s="169">
        <f>Scénario!M29</f>
        <v>17.600000000000001</v>
      </c>
      <c r="C56" s="184">
        <f>IF(B56&gt;[1]Trav!E121,[1]Trav!C121,[1]Trav!B121)</f>
        <v>7.2</v>
      </c>
      <c r="D56"/>
      <c r="E56" s="168"/>
      <c r="F56" s="169">
        <f t="shared" si="32"/>
        <v>127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775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820</v>
      </c>
      <c r="B57" s="169">
        <f>Scénario!M30</f>
        <v>4</v>
      </c>
      <c r="C57" s="184">
        <f>IF(B57&gt;[1]Trav!E121,[1]Trav!C121,[1]Trav!B121)</f>
        <v>7.2</v>
      </c>
      <c r="D57"/>
      <c r="E57" s="168"/>
      <c r="F57" s="169">
        <f t="shared" si="32"/>
        <v>29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775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821</v>
      </c>
      <c r="B58" s="173">
        <f>Scénario!M28-Travail!B55</f>
        <v>3.5199999999999996</v>
      </c>
      <c r="C58" s="184">
        <f>IF(B58&gt;[1]Trav!E122,[1]Trav!C122,[1]Trav!B122)</f>
        <v>4.4000000000000004</v>
      </c>
      <c r="E58" s="168"/>
      <c r="F58" s="169">
        <f t="shared" si="32"/>
        <v>15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775</v>
      </c>
      <c r="AT58" s="40" t="s">
        <v>822</v>
      </c>
      <c r="AU58" s="14"/>
      <c r="BZ58" s="40" t="s">
        <v>822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822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823</v>
      </c>
      <c r="B59" s="173">
        <f>Scénario!K32</f>
        <v>9.6999999999999993</v>
      </c>
      <c r="C59" s="184">
        <f>[1]Trav!$B$123</f>
        <v>7.2</v>
      </c>
      <c r="E59" s="168"/>
      <c r="F59" s="169">
        <f t="shared" si="32"/>
        <v>70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775</v>
      </c>
      <c r="AT59" s="14" t="s">
        <v>824</v>
      </c>
      <c r="AU59" s="30">
        <f>VALUE(CONCATENATE(Scénario!K8,Travail!AU2))</f>
        <v>12</v>
      </c>
      <c r="BZ59" s="14" t="s">
        <v>824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824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825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775</v>
      </c>
      <c r="AT60" s="183" t="str">
        <f>+AT48</f>
        <v>Vaches suitées au pâturage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0</v>
      </c>
      <c r="BC60" s="169">
        <f>IF(BC15=0,0,IF(BC37=3,0,VALUE(CONCATENATE(Travail!BC26,Travail!BC37,Travail!BC48))))</f>
        <v>0</v>
      </c>
      <c r="BD60" s="169">
        <f>IF(BD15=0,0,IF(BD37=3,0,VALUE(CONCATENATE(Travail!BD26,Travail!BD37,Travail!BD48))))</f>
        <v>0</v>
      </c>
      <c r="BE60" s="169">
        <f>IF(BE15=0,0,IF(BE37=3,0,VALUE(CONCATENATE(Travail!BE26,Travail!BE37,Travail!BE48))))</f>
        <v>0</v>
      </c>
      <c r="BF60" s="169">
        <f>IF(BF15=0,0,IF(BF37=3,0,VALUE(CONCATENATE(Travail!BF26,Travail!BF37,Travail!BF48))))</f>
        <v>200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826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827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775</v>
      </c>
      <c r="AT61" s="183" t="str">
        <f>+AT49</f>
        <v xml:space="preserve">Vaches lot principal 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0</v>
      </c>
      <c r="BC61" s="169">
        <f>IF(BC16=0,0,IF(BC38=3,0,VALUE(CONCATENATE(Travail!BC27,Travail!BC38,Travail!BC49))))</f>
        <v>0</v>
      </c>
      <c r="BD61" s="169">
        <f>IF(BD16=0,0,IF(BD38=3,0,VALUE(CONCATENATE(Travail!BD27,Travail!BD38,Travail!BD49))))</f>
        <v>0</v>
      </c>
      <c r="BE61" s="169">
        <f>IF(BE16=0,0,IF(BE38=3,0,VALUE(CONCATENATE(Travail!BE27,Travail!BE38,Travail!BE49))))</f>
        <v>0</v>
      </c>
      <c r="BF61" s="169">
        <f>IF(BF16=0,0,IF(BF38=3,0,VALUE(CONCATENATE(Travail!BF27,Travail!BF38,Travail!BF49))))</f>
        <v>0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0</v>
      </c>
      <c r="BN61" s="169">
        <f>IF(BN16=0,0,IF(BN38=3,0,VALUE(CONCATENATE(Travail!BN27,Travail!BN38,Travail!BN49))))</f>
        <v>0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828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775</v>
      </c>
      <c r="AS62" s="17"/>
      <c r="AT62" s="183" t="str">
        <f>+AT50</f>
        <v>Génisses renouvellement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829</v>
      </c>
      <c r="B63" s="23"/>
      <c r="C63" s="23"/>
      <c r="D63" s="23"/>
      <c r="E63" s="23"/>
      <c r="F63" s="169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775</v>
      </c>
      <c r="AT63" s="183" t="str">
        <f t="shared" ref="AT63:AT69" si="35">+AT51</f>
        <v>génisses 2/3 ans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tardive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775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775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775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775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834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775</v>
      </c>
      <c r="AT70" s="40" t="s">
        <v>835</v>
      </c>
      <c r="BZ70" s="40" t="s">
        <v>835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836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775</v>
      </c>
      <c r="AT71" s="183" t="str">
        <f>AT60</f>
        <v>Vaches suitées au pâturage</v>
      </c>
      <c r="AV71" s="169">
        <f t="shared" ref="AV71:BS80" si="36">IF(AV15=0,0,VALUE(CONCATENATE(AV26,AV37)))</f>
        <v>0</v>
      </c>
      <c r="AW71" s="169">
        <f t="shared" si="36"/>
        <v>0</v>
      </c>
      <c r="AX71" s="169">
        <f t="shared" si="36"/>
        <v>0</v>
      </c>
      <c r="AY71" s="169">
        <f t="shared" si="36"/>
        <v>0</v>
      </c>
      <c r="AZ71" s="169">
        <f t="shared" si="36"/>
        <v>0</v>
      </c>
      <c r="BA71" s="169">
        <f t="shared" si="36"/>
        <v>0</v>
      </c>
      <c r="BB71" s="169">
        <f t="shared" si="36"/>
        <v>23</v>
      </c>
      <c r="BC71" s="169">
        <f t="shared" si="36"/>
        <v>23</v>
      </c>
      <c r="BD71" s="169">
        <f t="shared" si="36"/>
        <v>23</v>
      </c>
      <c r="BE71" s="169">
        <f t="shared" si="36"/>
        <v>23</v>
      </c>
      <c r="BF71" s="169">
        <f t="shared" si="36"/>
        <v>20</v>
      </c>
      <c r="BG71" s="169">
        <f t="shared" si="36"/>
        <v>0</v>
      </c>
      <c r="BH71" s="169">
        <f t="shared" si="36"/>
        <v>0</v>
      </c>
      <c r="BI71" s="169">
        <f t="shared" si="36"/>
        <v>0</v>
      </c>
      <c r="BJ71" s="169">
        <f t="shared" si="36"/>
        <v>0</v>
      </c>
      <c r="BK71" s="169">
        <f t="shared" si="36"/>
        <v>0</v>
      </c>
      <c r="BL71" s="169">
        <f t="shared" si="36"/>
        <v>0</v>
      </c>
      <c r="BM71" s="169">
        <f t="shared" si="36"/>
        <v>0</v>
      </c>
      <c r="BN71" s="169">
        <f t="shared" si="36"/>
        <v>0</v>
      </c>
      <c r="BO71" s="169">
        <f t="shared" si="36"/>
        <v>0</v>
      </c>
      <c r="BP71" s="169">
        <f t="shared" si="36"/>
        <v>0</v>
      </c>
      <c r="BQ71" s="169">
        <f t="shared" si="36"/>
        <v>0</v>
      </c>
      <c r="BR71" s="169">
        <f t="shared" si="36"/>
        <v>0</v>
      </c>
      <c r="BS71" s="169">
        <f t="shared" si="36"/>
        <v>0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837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775</v>
      </c>
      <c r="AT72" s="183" t="str">
        <f t="shared" ref="AT72:AT80" si="40">AT61</f>
        <v xml:space="preserve">Vaches lot principal </v>
      </c>
      <c r="AV72" s="169">
        <f t="shared" si="36"/>
        <v>23</v>
      </c>
      <c r="AW72" s="169">
        <f t="shared" si="36"/>
        <v>23</v>
      </c>
      <c r="AX72" s="169">
        <f t="shared" si="36"/>
        <v>23</v>
      </c>
      <c r="AY72" s="169">
        <f t="shared" si="36"/>
        <v>23</v>
      </c>
      <c r="AZ72" s="169">
        <f t="shared" si="36"/>
        <v>23</v>
      </c>
      <c r="BA72" s="169">
        <f t="shared" si="36"/>
        <v>23</v>
      </c>
      <c r="BB72" s="169">
        <f t="shared" si="36"/>
        <v>23</v>
      </c>
      <c r="BC72" s="169">
        <f t="shared" si="36"/>
        <v>23</v>
      </c>
      <c r="BD72" s="169">
        <f t="shared" si="36"/>
        <v>23</v>
      </c>
      <c r="BE72" s="169">
        <f t="shared" si="36"/>
        <v>23</v>
      </c>
      <c r="BF72" s="169">
        <f t="shared" si="36"/>
        <v>23</v>
      </c>
      <c r="BG72" s="169">
        <f t="shared" si="36"/>
        <v>23</v>
      </c>
      <c r="BH72" s="169">
        <f t="shared" si="36"/>
        <v>23</v>
      </c>
      <c r="BI72" s="169">
        <f t="shared" si="36"/>
        <v>23</v>
      </c>
      <c r="BJ72" s="169">
        <f t="shared" si="36"/>
        <v>23</v>
      </c>
      <c r="BK72" s="169">
        <f t="shared" si="36"/>
        <v>23</v>
      </c>
      <c r="BL72" s="169">
        <f t="shared" si="36"/>
        <v>23</v>
      </c>
      <c r="BM72" s="169">
        <f t="shared" si="36"/>
        <v>23</v>
      </c>
      <c r="BN72" s="169">
        <f t="shared" si="36"/>
        <v>23</v>
      </c>
      <c r="BO72" s="169">
        <f t="shared" si="36"/>
        <v>23</v>
      </c>
      <c r="BP72" s="169">
        <f t="shared" si="36"/>
        <v>23</v>
      </c>
      <c r="BQ72" s="169">
        <f t="shared" si="36"/>
        <v>23</v>
      </c>
      <c r="BR72" s="169">
        <f t="shared" si="36"/>
        <v>23</v>
      </c>
      <c r="BS72" s="169">
        <f t="shared" si="36"/>
        <v>23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838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775</v>
      </c>
      <c r="AT73" s="183" t="str">
        <f t="shared" si="40"/>
        <v>Génisses renouvellement</v>
      </c>
      <c r="AV73" s="169">
        <f t="shared" si="36"/>
        <v>13</v>
      </c>
      <c r="AW73" s="169">
        <f t="shared" si="36"/>
        <v>13</v>
      </c>
      <c r="AX73" s="169">
        <f t="shared" si="36"/>
        <v>13</v>
      </c>
      <c r="AY73" s="169">
        <f t="shared" si="36"/>
        <v>13</v>
      </c>
      <c r="AZ73" s="169">
        <f t="shared" si="36"/>
        <v>13</v>
      </c>
      <c r="BA73" s="169">
        <f t="shared" si="36"/>
        <v>13</v>
      </c>
      <c r="BB73" s="169">
        <f t="shared" si="36"/>
        <v>13</v>
      </c>
      <c r="BC73" s="169">
        <f t="shared" si="36"/>
        <v>13</v>
      </c>
      <c r="BD73" s="169">
        <f t="shared" si="36"/>
        <v>13</v>
      </c>
      <c r="BE73" s="169">
        <f t="shared" si="36"/>
        <v>13</v>
      </c>
      <c r="BF73" s="169">
        <f t="shared" si="36"/>
        <v>13</v>
      </c>
      <c r="BG73" s="169">
        <f t="shared" si="36"/>
        <v>13</v>
      </c>
      <c r="BH73" s="169">
        <f t="shared" si="36"/>
        <v>13</v>
      </c>
      <c r="BI73" s="169">
        <f t="shared" si="36"/>
        <v>13</v>
      </c>
      <c r="BJ73" s="169">
        <f t="shared" si="36"/>
        <v>13</v>
      </c>
      <c r="BK73" s="169">
        <f t="shared" si="36"/>
        <v>13</v>
      </c>
      <c r="BL73" s="169">
        <f t="shared" si="36"/>
        <v>13</v>
      </c>
      <c r="BM73" s="169">
        <f t="shared" si="36"/>
        <v>13</v>
      </c>
      <c r="BN73" s="169">
        <f t="shared" si="36"/>
        <v>13</v>
      </c>
      <c r="BO73" s="169">
        <f t="shared" si="36"/>
        <v>13</v>
      </c>
      <c r="BP73" s="169">
        <f t="shared" si="36"/>
        <v>13</v>
      </c>
      <c r="BQ73" s="169">
        <f t="shared" si="36"/>
        <v>13</v>
      </c>
      <c r="BR73" s="169">
        <f t="shared" si="36"/>
        <v>13</v>
      </c>
      <c r="BS73" s="169">
        <f t="shared" si="36"/>
        <v>13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839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775</v>
      </c>
      <c r="AT74" s="183" t="str">
        <f t="shared" si="40"/>
        <v>génisses 2/3 ans</v>
      </c>
      <c r="AV74" s="169">
        <f t="shared" si="36"/>
        <v>13</v>
      </c>
      <c r="AW74" s="169">
        <f t="shared" si="36"/>
        <v>13</v>
      </c>
      <c r="AX74" s="169">
        <f t="shared" si="36"/>
        <v>13</v>
      </c>
      <c r="AY74" s="169">
        <f t="shared" si="36"/>
        <v>13</v>
      </c>
      <c r="AZ74" s="169">
        <f t="shared" si="36"/>
        <v>13</v>
      </c>
      <c r="BA74" s="169">
        <f t="shared" si="36"/>
        <v>13</v>
      </c>
      <c r="BB74" s="169">
        <f t="shared" si="36"/>
        <v>13</v>
      </c>
      <c r="BC74" s="169">
        <f t="shared" si="36"/>
        <v>13</v>
      </c>
      <c r="BD74" s="169">
        <f t="shared" si="36"/>
        <v>13</v>
      </c>
      <c r="BE74" s="169">
        <f t="shared" si="36"/>
        <v>13</v>
      </c>
      <c r="BF74" s="169">
        <f t="shared" si="36"/>
        <v>13</v>
      </c>
      <c r="BG74" s="169">
        <f t="shared" si="36"/>
        <v>13</v>
      </c>
      <c r="BH74" s="169">
        <f t="shared" si="36"/>
        <v>13</v>
      </c>
      <c r="BI74" s="169">
        <f t="shared" si="36"/>
        <v>13</v>
      </c>
      <c r="BJ74" s="169">
        <f t="shared" si="36"/>
        <v>13</v>
      </c>
      <c r="BK74" s="169">
        <f t="shared" si="36"/>
        <v>13</v>
      </c>
      <c r="BL74" s="169">
        <f t="shared" si="36"/>
        <v>13</v>
      </c>
      <c r="BM74" s="169">
        <f t="shared" si="36"/>
        <v>13</v>
      </c>
      <c r="BN74" s="169">
        <f t="shared" si="36"/>
        <v>13</v>
      </c>
      <c r="BO74" s="169">
        <f t="shared" si="36"/>
        <v>13</v>
      </c>
      <c r="BP74" s="169">
        <f t="shared" si="36"/>
        <v>13</v>
      </c>
      <c r="BQ74" s="169">
        <f t="shared" si="36"/>
        <v>13</v>
      </c>
      <c r="BR74" s="169">
        <f t="shared" si="36"/>
        <v>13</v>
      </c>
      <c r="BS74" s="169">
        <f t="shared" si="36"/>
        <v>13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840</v>
      </c>
      <c r="F75" s="192">
        <f>IF(Protection!$AJ$8=0,0,SUM(G75:AD75))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tardive</v>
      </c>
      <c r="AV75" s="169">
        <f t="shared" si="36"/>
        <v>13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13</v>
      </c>
      <c r="BM75" s="169">
        <f t="shared" si="36"/>
        <v>13</v>
      </c>
      <c r="BN75" s="169">
        <f t="shared" si="36"/>
        <v>13</v>
      </c>
      <c r="BO75" s="169">
        <f t="shared" si="36"/>
        <v>13</v>
      </c>
      <c r="BP75" s="169">
        <f t="shared" si="36"/>
        <v>13</v>
      </c>
      <c r="BQ75" s="169">
        <f t="shared" si="36"/>
        <v>13</v>
      </c>
      <c r="BR75" s="169">
        <f t="shared" si="36"/>
        <v>13</v>
      </c>
      <c r="BS75" s="169">
        <f t="shared" si="36"/>
        <v>13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841</v>
      </c>
      <c r="F76" s="192">
        <f>IF(Protection!$AJ$8=0,0,SUM(G76:AD76))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775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775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775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842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775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843</v>
      </c>
      <c r="B80" s="167" t="s">
        <v>844</v>
      </c>
      <c r="C80" s="167" t="s">
        <v>845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775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846</v>
      </c>
      <c r="B81" s="173">
        <f>ROUND(Protection!AJ8/[1]Protect!$B$11,2)</f>
        <v>0.28999999999999998</v>
      </c>
      <c r="C81" s="184">
        <f>[1]Protect!$B$10</f>
        <v>4</v>
      </c>
      <c r="D81" s="168"/>
      <c r="E81" s="168"/>
      <c r="F81" s="169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775</v>
      </c>
      <c r="AT81" s="19" t="s">
        <v>847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1</v>
      </c>
      <c r="BA81" s="169">
        <f t="shared" si="44"/>
        <v>1</v>
      </c>
      <c r="BB81" s="169">
        <f t="shared" si="44"/>
        <v>2</v>
      </c>
      <c r="BC81" s="169">
        <f t="shared" si="44"/>
        <v>2</v>
      </c>
      <c r="BD81" s="169">
        <f t="shared" si="44"/>
        <v>2</v>
      </c>
      <c r="BE81" s="169">
        <f t="shared" si="44"/>
        <v>2</v>
      </c>
      <c r="BF81" s="169">
        <f t="shared" si="44"/>
        <v>1</v>
      </c>
      <c r="BG81" s="169">
        <f t="shared" si="44"/>
        <v>1</v>
      </c>
      <c r="BH81" s="169">
        <f t="shared" si="44"/>
        <v>1</v>
      </c>
      <c r="BI81" s="169">
        <f t="shared" si="44"/>
        <v>1</v>
      </c>
      <c r="BJ81" s="169">
        <f t="shared" si="44"/>
        <v>1</v>
      </c>
      <c r="BK81" s="169">
        <f t="shared" si="44"/>
        <v>1</v>
      </c>
      <c r="BL81" s="169">
        <f t="shared" si="44"/>
        <v>1</v>
      </c>
      <c r="BM81" s="169">
        <f t="shared" si="44"/>
        <v>1</v>
      </c>
      <c r="BN81" s="169">
        <f t="shared" si="44"/>
        <v>1</v>
      </c>
      <c r="BO81" s="169">
        <f t="shared" si="44"/>
        <v>1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847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847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848</v>
      </c>
      <c r="C82" t="s">
        <v>849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775</v>
      </c>
      <c r="AT82" s="19" t="s">
        <v>850</v>
      </c>
      <c r="AV82" s="169">
        <f>COUNTIF(AV$71:AV$80,13)</f>
        <v>3</v>
      </c>
      <c r="AW82" s="169">
        <f t="shared" ref="AW82:BS82" si="47">COUNTIF(AW$71:AW$80,13)</f>
        <v>2</v>
      </c>
      <c r="AX82" s="169">
        <f t="shared" si="47"/>
        <v>2</v>
      </c>
      <c r="AY82" s="169">
        <f t="shared" si="47"/>
        <v>2</v>
      </c>
      <c r="AZ82" s="169">
        <f t="shared" si="47"/>
        <v>2</v>
      </c>
      <c r="BA82" s="169">
        <f t="shared" si="47"/>
        <v>2</v>
      </c>
      <c r="BB82" s="169">
        <f t="shared" si="47"/>
        <v>2</v>
      </c>
      <c r="BC82" s="169">
        <f t="shared" si="47"/>
        <v>2</v>
      </c>
      <c r="BD82" s="169">
        <f t="shared" si="47"/>
        <v>2</v>
      </c>
      <c r="BE82" s="169">
        <f t="shared" si="47"/>
        <v>2</v>
      </c>
      <c r="BF82" s="169">
        <f t="shared" si="47"/>
        <v>2</v>
      </c>
      <c r="BG82" s="169">
        <f t="shared" si="47"/>
        <v>2</v>
      </c>
      <c r="BH82" s="169">
        <f t="shared" si="47"/>
        <v>2</v>
      </c>
      <c r="BI82" s="169">
        <f t="shared" si="47"/>
        <v>2</v>
      </c>
      <c r="BJ82" s="169">
        <f t="shared" si="47"/>
        <v>2</v>
      </c>
      <c r="BK82" s="169">
        <f t="shared" si="47"/>
        <v>2</v>
      </c>
      <c r="BL82" s="169">
        <f t="shared" si="47"/>
        <v>3</v>
      </c>
      <c r="BM82" s="169">
        <f t="shared" si="47"/>
        <v>3</v>
      </c>
      <c r="BN82" s="169">
        <f t="shared" si="47"/>
        <v>3</v>
      </c>
      <c r="BO82" s="169">
        <f t="shared" si="47"/>
        <v>3</v>
      </c>
      <c r="BP82" s="169">
        <f t="shared" si="47"/>
        <v>3</v>
      </c>
      <c r="BQ82" s="169">
        <f t="shared" si="47"/>
        <v>3</v>
      </c>
      <c r="BR82" s="169">
        <f t="shared" si="47"/>
        <v>3</v>
      </c>
      <c r="BS82" s="169">
        <f t="shared" si="47"/>
        <v>3</v>
      </c>
      <c r="BZ82" s="19" t="s">
        <v>850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850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851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775</v>
      </c>
      <c r="AT83" s="19" t="s">
        <v>852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0</v>
      </c>
      <c r="BC83" s="169">
        <f t="shared" si="50"/>
        <v>0</v>
      </c>
      <c r="BD83" s="169">
        <f t="shared" si="50"/>
        <v>0</v>
      </c>
      <c r="BE83" s="169">
        <f t="shared" si="50"/>
        <v>0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852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852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853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775</v>
      </c>
      <c r="AT84" s="19" t="s">
        <v>854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0</v>
      </c>
      <c r="BF84" s="169">
        <f t="shared" si="53"/>
        <v>0</v>
      </c>
      <c r="BG84" s="169">
        <f t="shared" si="53"/>
        <v>0</v>
      </c>
      <c r="BH84" s="169">
        <f t="shared" si="53"/>
        <v>0</v>
      </c>
      <c r="BI84" s="169">
        <f t="shared" si="53"/>
        <v>0</v>
      </c>
      <c r="BJ84" s="169">
        <f t="shared" si="53"/>
        <v>0</v>
      </c>
      <c r="BK84" s="169">
        <f t="shared" si="53"/>
        <v>0</v>
      </c>
      <c r="BL84" s="169">
        <f t="shared" si="53"/>
        <v>0</v>
      </c>
      <c r="BM84" s="169">
        <f t="shared" si="53"/>
        <v>0</v>
      </c>
      <c r="BN84" s="169">
        <f t="shared" si="53"/>
        <v>0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854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854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855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775</v>
      </c>
      <c r="AT85" s="40" t="s">
        <v>856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857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775</v>
      </c>
      <c r="AT86" s="40" t="s">
        <v>858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42</v>
      </c>
      <c r="BF86" s="184">
        <f>IF(BF85=0,0,HLOOKUP(BF85,[1]Trav!$C$39:$G$59,$AU$105))</f>
        <v>42</v>
      </c>
      <c r="BG86" s="184">
        <f>IF(BG85=0,0,HLOOKUP(BG85,[1]Trav!$C$39:$G$59,$AU$105))</f>
        <v>42</v>
      </c>
      <c r="BH86" s="184">
        <f>IF(BH85=0,0,HLOOKUP(BH85,[1]Trav!$C$39:$G$59,$AU$105))</f>
        <v>42</v>
      </c>
      <c r="BI86" s="184">
        <f>IF(BI85=0,0,HLOOKUP(BI85,[1]Trav!$C$39:$G$59,$AU$105))</f>
        <v>42</v>
      </c>
      <c r="BJ86" s="184">
        <f>IF(BJ85=0,0,HLOOKUP(BJ85,[1]Trav!$C$39:$G$59,$AU$105))</f>
        <v>42</v>
      </c>
      <c r="BK86" s="184">
        <f>IF(BK85=0,0,HLOOKUP(BK85,[1]Trav!$C$39:$G$59,$AU$105))</f>
        <v>42</v>
      </c>
      <c r="BL86" s="184">
        <f>IF(BL85=0,0,HLOOKUP(BL85,[1]Trav!$C$39:$G$59,$AU$105))</f>
        <v>42</v>
      </c>
      <c r="BM86" s="184">
        <f>IF(BM85=0,0,HLOOKUP(BM85,[1]Trav!$C$39:$G$59,$AU$105))</f>
        <v>42</v>
      </c>
      <c r="BN86" s="184">
        <f>IF(BN85=0,0,HLOOKUP(BN85,[1]Trav!$C$39:$G$59,$AU$105))</f>
        <v>42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858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858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859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775</v>
      </c>
      <c r="AT87" s="40" t="s">
        <v>860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860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860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861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861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861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862</v>
      </c>
      <c r="B90" s="5" t="s">
        <v>863</v>
      </c>
      <c r="C90" s="5"/>
      <c r="D90" s="5" t="s">
        <v>864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suitées au pâturage</v>
      </c>
      <c r="AV90" s="169">
        <f t="shared" ref="AV90:BS95" si="60">IF(AV37&gt;1,AV4,0)</f>
        <v>0</v>
      </c>
      <c r="AW90" s="169">
        <f t="shared" si="60"/>
        <v>0</v>
      </c>
      <c r="AX90" s="169">
        <f t="shared" si="60"/>
        <v>0</v>
      </c>
      <c r="AY90" s="169">
        <f t="shared" si="60"/>
        <v>0</v>
      </c>
      <c r="AZ90" s="169">
        <f t="shared" si="60"/>
        <v>0</v>
      </c>
      <c r="BA90" s="169">
        <f t="shared" si="60"/>
        <v>0</v>
      </c>
      <c r="BB90" s="169">
        <f t="shared" si="60"/>
        <v>13.953488372093023</v>
      </c>
      <c r="BC90" s="169">
        <f t="shared" si="60"/>
        <v>12.093023255813954</v>
      </c>
      <c r="BD90" s="169">
        <f t="shared" si="60"/>
        <v>7.441860465116279</v>
      </c>
      <c r="BE90" s="169">
        <f t="shared" si="60"/>
        <v>3.7209302325581395</v>
      </c>
      <c r="BF90" s="169">
        <f t="shared" si="60"/>
        <v>0</v>
      </c>
      <c r="BG90" s="169">
        <f t="shared" si="60"/>
        <v>0</v>
      </c>
      <c r="BH90" s="169">
        <f t="shared" si="60"/>
        <v>0</v>
      </c>
      <c r="BI90" s="169">
        <f t="shared" si="60"/>
        <v>0</v>
      </c>
      <c r="BJ90" s="169">
        <f t="shared" si="60"/>
        <v>0</v>
      </c>
      <c r="BK90" s="169">
        <f t="shared" si="60"/>
        <v>0</v>
      </c>
      <c r="BL90" s="169">
        <f t="shared" si="60"/>
        <v>0</v>
      </c>
      <c r="BM90" s="169">
        <f t="shared" si="60"/>
        <v>0</v>
      </c>
      <c r="BN90" s="169">
        <f t="shared" si="60"/>
        <v>0</v>
      </c>
      <c r="BO90" s="169">
        <f t="shared" si="60"/>
        <v>0</v>
      </c>
      <c r="BP90" s="169">
        <f t="shared" si="60"/>
        <v>0</v>
      </c>
      <c r="BQ90" s="169">
        <f t="shared" si="60"/>
        <v>0</v>
      </c>
      <c r="BR90" s="169">
        <f t="shared" si="60"/>
        <v>0</v>
      </c>
      <c r="BS90" s="169">
        <f t="shared" si="60"/>
        <v>0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865</v>
      </c>
      <c r="B91" s="195">
        <f>F5+F9</f>
        <v>1265.7237209302327</v>
      </c>
      <c r="C91" s="5"/>
      <c r="D91" s="196">
        <f>B91/Troupeau!$B$17</f>
        <v>31.643093023255819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 xml:space="preserve">Vaches lot principal </v>
      </c>
      <c r="AV91" s="169">
        <f t="shared" si="60"/>
        <v>27.906976744186046</v>
      </c>
      <c r="AW91" s="169">
        <f t="shared" si="60"/>
        <v>30.697674418604652</v>
      </c>
      <c r="AX91" s="169">
        <f t="shared" si="60"/>
        <v>30.697674418604652</v>
      </c>
      <c r="AY91" s="169">
        <f t="shared" si="60"/>
        <v>30.697674418604652</v>
      </c>
      <c r="AZ91" s="169">
        <f t="shared" si="60"/>
        <v>30.697674418604652</v>
      </c>
      <c r="BA91" s="169">
        <f t="shared" si="60"/>
        <v>30.697674418604652</v>
      </c>
      <c r="BB91" s="169">
        <f t="shared" si="60"/>
        <v>16.744186046511629</v>
      </c>
      <c r="BC91" s="169">
        <f t="shared" si="60"/>
        <v>18.604651162790699</v>
      </c>
      <c r="BD91" s="169">
        <f t="shared" si="60"/>
        <v>23.255813953488371</v>
      </c>
      <c r="BE91" s="169">
        <f t="shared" si="60"/>
        <v>26.976744186046513</v>
      </c>
      <c r="BF91" s="169">
        <f t="shared" si="60"/>
        <v>28.837209302325583</v>
      </c>
      <c r="BG91" s="169">
        <f t="shared" si="60"/>
        <v>30.697674418604652</v>
      </c>
      <c r="BH91" s="169">
        <f t="shared" si="60"/>
        <v>30.697674418604652</v>
      </c>
      <c r="BI91" s="169">
        <f t="shared" si="60"/>
        <v>30.697674418604652</v>
      </c>
      <c r="BJ91" s="169">
        <f t="shared" si="60"/>
        <v>30.697674418604652</v>
      </c>
      <c r="BK91" s="169">
        <f t="shared" si="60"/>
        <v>29.767441860465116</v>
      </c>
      <c r="BL91" s="169">
        <f t="shared" si="60"/>
        <v>19.534883720930232</v>
      </c>
      <c r="BM91" s="169">
        <f t="shared" si="60"/>
        <v>19.534883720930232</v>
      </c>
      <c r="BN91" s="169">
        <f t="shared" si="60"/>
        <v>19.534883720930232</v>
      </c>
      <c r="BO91" s="169">
        <f t="shared" si="60"/>
        <v>20.465116279069768</v>
      </c>
      <c r="BP91" s="169">
        <f t="shared" si="60"/>
        <v>20.465116279069768</v>
      </c>
      <c r="BQ91" s="169">
        <f t="shared" si="60"/>
        <v>21.395348837209301</v>
      </c>
      <c r="BR91" s="169">
        <f t="shared" si="60"/>
        <v>21.395348837209301</v>
      </c>
      <c r="BS91" s="169">
        <f t="shared" si="60"/>
        <v>24.186046511627907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866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renouvellement</v>
      </c>
      <c r="AV92" s="169">
        <f t="shared" si="60"/>
        <v>10.232558139534884</v>
      </c>
      <c r="AW92" s="169">
        <f t="shared" si="60"/>
        <v>12.093023255813954</v>
      </c>
      <c r="AX92" s="169">
        <f t="shared" si="60"/>
        <v>15.813953488372093</v>
      </c>
      <c r="AY92" s="169">
        <f t="shared" si="60"/>
        <v>18.604651162790699</v>
      </c>
      <c r="AZ92" s="169">
        <f t="shared" si="60"/>
        <v>18.604651162790699</v>
      </c>
      <c r="BA92" s="169">
        <f t="shared" si="60"/>
        <v>18.604651162790699</v>
      </c>
      <c r="BB92" s="169">
        <f t="shared" si="60"/>
        <v>18.604651162790699</v>
      </c>
      <c r="BC92" s="169">
        <f t="shared" si="60"/>
        <v>18.604651162790699</v>
      </c>
      <c r="BD92" s="169">
        <f t="shared" si="60"/>
        <v>18.604651162790699</v>
      </c>
      <c r="BE92" s="169">
        <f t="shared" si="60"/>
        <v>18.604651162790699</v>
      </c>
      <c r="BF92" s="169">
        <f t="shared" si="60"/>
        <v>18.604651162790699</v>
      </c>
      <c r="BG92" s="169">
        <f t="shared" si="60"/>
        <v>18.604651162790699</v>
      </c>
      <c r="BH92" s="169">
        <f t="shared" si="60"/>
        <v>18.604651162790699</v>
      </c>
      <c r="BI92" s="169">
        <f t="shared" si="60"/>
        <v>18.604651162790699</v>
      </c>
      <c r="BJ92" s="169">
        <f t="shared" si="60"/>
        <v>18.604651162790699</v>
      </c>
      <c r="BK92" s="169">
        <f t="shared" si="60"/>
        <v>18.604651162790699</v>
      </c>
      <c r="BL92" s="169">
        <f t="shared" si="60"/>
        <v>17.674418604651162</v>
      </c>
      <c r="BM92" s="169">
        <f t="shared" si="60"/>
        <v>17.674418604651162</v>
      </c>
      <c r="BN92" s="169">
        <f t="shared" si="60"/>
        <v>15.813953488372093</v>
      </c>
      <c r="BO92" s="169">
        <f t="shared" si="60"/>
        <v>13.953488372093023</v>
      </c>
      <c r="BP92" s="169">
        <f t="shared" si="60"/>
        <v>12.093023255813954</v>
      </c>
      <c r="BQ92" s="169">
        <f t="shared" si="60"/>
        <v>10.232558139534884</v>
      </c>
      <c r="BR92" s="169">
        <f t="shared" si="60"/>
        <v>9.3023255813953494</v>
      </c>
      <c r="BS92" s="169">
        <f t="shared" si="60"/>
        <v>9.3023255813953494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867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génisses 2/3 ans</v>
      </c>
      <c r="AV93" s="169">
        <f t="shared" si="60"/>
        <v>9.3023255813953494</v>
      </c>
      <c r="AW93" s="169">
        <f t="shared" si="60"/>
        <v>9.3023255813953494</v>
      </c>
      <c r="AX93" s="169">
        <f t="shared" si="60"/>
        <v>9.3023255813953494</v>
      </c>
      <c r="AY93" s="169">
        <f t="shared" si="60"/>
        <v>9.3023255813953494</v>
      </c>
      <c r="AZ93" s="169">
        <f t="shared" si="60"/>
        <v>9.3023255813953494</v>
      </c>
      <c r="BA93" s="169">
        <f t="shared" si="60"/>
        <v>9.3023255813953494</v>
      </c>
      <c r="BB93" s="169">
        <f t="shared" si="60"/>
        <v>9.3023255813953494</v>
      </c>
      <c r="BC93" s="169">
        <f t="shared" si="60"/>
        <v>9.3023255813953494</v>
      </c>
      <c r="BD93" s="169">
        <f t="shared" si="60"/>
        <v>9.3023255813953494</v>
      </c>
      <c r="BE93" s="169">
        <f t="shared" si="60"/>
        <v>9.3023255813953494</v>
      </c>
      <c r="BF93" s="169">
        <f t="shared" si="60"/>
        <v>9.3023255813953494</v>
      </c>
      <c r="BG93" s="169">
        <f t="shared" si="60"/>
        <v>9.3023255813953494</v>
      </c>
      <c r="BH93" s="169">
        <f t="shared" si="60"/>
        <v>9.3023255813953494</v>
      </c>
      <c r="BI93" s="169">
        <f t="shared" si="60"/>
        <v>9.3023255813953494</v>
      </c>
      <c r="BJ93" s="169">
        <f t="shared" si="60"/>
        <v>9.3023255813953494</v>
      </c>
      <c r="BK93" s="169">
        <f t="shared" si="60"/>
        <v>9.3023255813953494</v>
      </c>
      <c r="BL93" s="169">
        <f t="shared" si="60"/>
        <v>9.3023255813953494</v>
      </c>
      <c r="BM93" s="169">
        <f t="shared" si="60"/>
        <v>9.3023255813953494</v>
      </c>
      <c r="BN93" s="169">
        <f t="shared" si="60"/>
        <v>9.3023255813953494</v>
      </c>
      <c r="BO93" s="169">
        <f t="shared" si="60"/>
        <v>9.3023255813953494</v>
      </c>
      <c r="BP93" s="169">
        <f t="shared" si="60"/>
        <v>9.3023255813953494</v>
      </c>
      <c r="BQ93" s="169">
        <f t="shared" si="60"/>
        <v>9.3023255813953494</v>
      </c>
      <c r="BR93" s="169">
        <f t="shared" si="60"/>
        <v>9.3023255813953494</v>
      </c>
      <c r="BS93" s="169">
        <f t="shared" si="60"/>
        <v>9.3023255813953494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868</v>
      </c>
      <c r="B94" s="197">
        <f>SUM(B91:B93)</f>
        <v>1265.7237209302327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tardive</v>
      </c>
      <c r="AV94" s="169">
        <f>IF(AV41&gt;1,AV8,0)</f>
        <v>2.7906976744186047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10.232558139534884</v>
      </c>
      <c r="BM94" s="169">
        <f t="shared" si="60"/>
        <v>10.232558139534884</v>
      </c>
      <c r="BN94" s="169">
        <f t="shared" si="60"/>
        <v>10.232558139534884</v>
      </c>
      <c r="BO94" s="169">
        <f t="shared" si="60"/>
        <v>10.232558139534884</v>
      </c>
      <c r="BP94" s="169">
        <f t="shared" si="60"/>
        <v>10.232558139534884</v>
      </c>
      <c r="BQ94" s="169">
        <f t="shared" si="60"/>
        <v>10.232558139534884</v>
      </c>
      <c r="BR94" s="169">
        <f t="shared" si="60"/>
        <v>10.232558139534884</v>
      </c>
      <c r="BS94" s="169">
        <f t="shared" si="60"/>
        <v>6.5116279069767442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869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870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871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872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873</v>
      </c>
      <c r="B99" s="30">
        <f>F31+F35</f>
        <v>204</v>
      </c>
      <c r="C99" s="5"/>
      <c r="D99" s="196">
        <f>B99/Troupeau!$B$17</f>
        <v>5.0999999999999996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50.232558139534881</v>
      </c>
      <c r="AW99" s="62">
        <f t="shared" ref="AW99:BS99" si="68">SUM(AW90:AW98)</f>
        <v>52.093023255813961</v>
      </c>
      <c r="AX99" s="62">
        <f t="shared" si="68"/>
        <v>55.813953488372093</v>
      </c>
      <c r="AY99" s="62">
        <f t="shared" si="68"/>
        <v>58.604651162790702</v>
      </c>
      <c r="AZ99" s="62">
        <f t="shared" si="68"/>
        <v>58.604651162790702</v>
      </c>
      <c r="BA99" s="62">
        <f t="shared" si="68"/>
        <v>58.604651162790702</v>
      </c>
      <c r="BB99" s="62">
        <f t="shared" si="68"/>
        <v>58.604651162790702</v>
      </c>
      <c r="BC99" s="62">
        <f t="shared" si="68"/>
        <v>58.604651162790702</v>
      </c>
      <c r="BD99" s="62">
        <f t="shared" si="68"/>
        <v>58.604651162790702</v>
      </c>
      <c r="BE99" s="62">
        <f t="shared" si="68"/>
        <v>58.604651162790702</v>
      </c>
      <c r="BF99" s="62">
        <f t="shared" si="68"/>
        <v>56.744186046511629</v>
      </c>
      <c r="BG99" s="62">
        <f t="shared" si="68"/>
        <v>58.604651162790702</v>
      </c>
      <c r="BH99" s="62">
        <f t="shared" si="68"/>
        <v>58.604651162790702</v>
      </c>
      <c r="BI99" s="62">
        <f t="shared" si="68"/>
        <v>58.604651162790702</v>
      </c>
      <c r="BJ99" s="62">
        <f t="shared" si="68"/>
        <v>58.604651162790702</v>
      </c>
      <c r="BK99" s="62">
        <f t="shared" si="68"/>
        <v>57.674418604651166</v>
      </c>
      <c r="BL99" s="62">
        <f t="shared" si="68"/>
        <v>56.744186046511629</v>
      </c>
      <c r="BM99" s="62">
        <f t="shared" si="68"/>
        <v>56.744186046511629</v>
      </c>
      <c r="BN99" s="62">
        <f t="shared" si="68"/>
        <v>54.883720930232556</v>
      </c>
      <c r="BO99" s="62">
        <f t="shared" si="68"/>
        <v>53.953488372093034</v>
      </c>
      <c r="BP99" s="62">
        <f t="shared" si="68"/>
        <v>52.093023255813961</v>
      </c>
      <c r="BQ99" s="62">
        <f t="shared" si="68"/>
        <v>51.162790697674424</v>
      </c>
      <c r="BR99" s="62">
        <f t="shared" si="68"/>
        <v>50.232558139534888</v>
      </c>
      <c r="BS99" s="62">
        <f t="shared" si="68"/>
        <v>49.302325581395351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874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875</v>
      </c>
      <c r="AV100" s="169">
        <f>IF($AT$2="OL",AV99/50,AV99/10)</f>
        <v>5.0232558139534884</v>
      </c>
      <c r="AW100" s="169">
        <f t="shared" ref="AW100:BS100" si="71">IF($AT$2="OL",AW99/50,AW99/10)</f>
        <v>5.2093023255813957</v>
      </c>
      <c r="AX100" s="169">
        <f t="shared" si="71"/>
        <v>5.5813953488372094</v>
      </c>
      <c r="AY100" s="169">
        <f t="shared" si="71"/>
        <v>5.8604651162790704</v>
      </c>
      <c r="AZ100" s="169">
        <f t="shared" si="71"/>
        <v>5.8604651162790704</v>
      </c>
      <c r="BA100" s="169">
        <f t="shared" si="71"/>
        <v>5.8604651162790704</v>
      </c>
      <c r="BB100" s="169">
        <f t="shared" si="71"/>
        <v>5.8604651162790704</v>
      </c>
      <c r="BC100" s="169">
        <f t="shared" si="71"/>
        <v>5.8604651162790704</v>
      </c>
      <c r="BD100" s="169">
        <f t="shared" si="71"/>
        <v>5.8604651162790704</v>
      </c>
      <c r="BE100" s="169">
        <f t="shared" si="71"/>
        <v>5.8604651162790704</v>
      </c>
      <c r="BF100" s="169">
        <f t="shared" si="71"/>
        <v>5.6744186046511631</v>
      </c>
      <c r="BG100" s="169">
        <f t="shared" si="71"/>
        <v>5.8604651162790704</v>
      </c>
      <c r="BH100" s="169">
        <f t="shared" si="71"/>
        <v>5.8604651162790704</v>
      </c>
      <c r="BI100" s="169">
        <f t="shared" si="71"/>
        <v>5.8604651162790704</v>
      </c>
      <c r="BJ100" s="169">
        <f t="shared" si="71"/>
        <v>5.8604651162790704</v>
      </c>
      <c r="BK100" s="169">
        <f t="shared" si="71"/>
        <v>5.7674418604651168</v>
      </c>
      <c r="BL100" s="169">
        <f t="shared" si="71"/>
        <v>5.6744186046511631</v>
      </c>
      <c r="BM100" s="169">
        <f t="shared" si="71"/>
        <v>5.6744186046511631</v>
      </c>
      <c r="BN100" s="169">
        <f t="shared" si="71"/>
        <v>5.4883720930232558</v>
      </c>
      <c r="BO100" s="169">
        <f t="shared" si="71"/>
        <v>5.395348837209303</v>
      </c>
      <c r="BP100" s="169">
        <f t="shared" si="71"/>
        <v>5.2093023255813957</v>
      </c>
      <c r="BQ100" s="169">
        <f t="shared" si="71"/>
        <v>5.1162790697674421</v>
      </c>
      <c r="BR100" s="169">
        <f t="shared" si="71"/>
        <v>5.0232558139534884</v>
      </c>
      <c r="BS100" s="169">
        <f t="shared" si="71"/>
        <v>4.9302325581395348</v>
      </c>
      <c r="BZ100" s="32" t="s">
        <v>875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875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876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877</v>
      </c>
      <c r="AV101" s="169">
        <f>IF(AV100&gt;1,AV100-1,0)</f>
        <v>4.0232558139534884</v>
      </c>
      <c r="AW101" s="169">
        <f t="shared" ref="AW101:BS101" si="74">IF(AW100&gt;1,AW100-1,0)</f>
        <v>4.2093023255813957</v>
      </c>
      <c r="AX101" s="169">
        <f t="shared" si="74"/>
        <v>4.5813953488372094</v>
      </c>
      <c r="AY101" s="169">
        <f t="shared" si="74"/>
        <v>4.8604651162790704</v>
      </c>
      <c r="AZ101" s="169">
        <f t="shared" si="74"/>
        <v>4.8604651162790704</v>
      </c>
      <c r="BA101" s="169">
        <f t="shared" si="74"/>
        <v>4.8604651162790704</v>
      </c>
      <c r="BB101" s="169">
        <f t="shared" si="74"/>
        <v>4.8604651162790704</v>
      </c>
      <c r="BC101" s="169">
        <f t="shared" si="74"/>
        <v>4.8604651162790704</v>
      </c>
      <c r="BD101" s="169">
        <f t="shared" si="74"/>
        <v>4.8604651162790704</v>
      </c>
      <c r="BE101" s="169">
        <f t="shared" si="74"/>
        <v>4.8604651162790704</v>
      </c>
      <c r="BF101" s="169">
        <f t="shared" si="74"/>
        <v>4.6744186046511631</v>
      </c>
      <c r="BG101" s="169">
        <f t="shared" si="74"/>
        <v>4.8604651162790704</v>
      </c>
      <c r="BH101" s="169">
        <f t="shared" si="74"/>
        <v>4.8604651162790704</v>
      </c>
      <c r="BI101" s="169">
        <f t="shared" si="74"/>
        <v>4.8604651162790704</v>
      </c>
      <c r="BJ101" s="169">
        <f t="shared" si="74"/>
        <v>4.8604651162790704</v>
      </c>
      <c r="BK101" s="169">
        <f t="shared" si="74"/>
        <v>4.7674418604651168</v>
      </c>
      <c r="BL101" s="169">
        <f t="shared" si="74"/>
        <v>4.6744186046511631</v>
      </c>
      <c r="BM101" s="169">
        <f t="shared" si="74"/>
        <v>4.6744186046511631</v>
      </c>
      <c r="BN101" s="169">
        <f t="shared" si="74"/>
        <v>4.4883720930232558</v>
      </c>
      <c r="BO101" s="169">
        <f t="shared" si="74"/>
        <v>4.395348837209303</v>
      </c>
      <c r="BP101" s="169">
        <f t="shared" si="74"/>
        <v>4.2093023255813957</v>
      </c>
      <c r="BQ101" s="169">
        <f t="shared" si="74"/>
        <v>4.1162790697674421</v>
      </c>
      <c r="BR101" s="169">
        <f t="shared" si="74"/>
        <v>4.0232558139534884</v>
      </c>
      <c r="BS101" s="169">
        <f t="shared" si="74"/>
        <v>3.9302325581395348</v>
      </c>
      <c r="BZ101" s="32" t="s">
        <v>877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877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878</v>
      </c>
      <c r="B102" s="46">
        <f>SUM(B99:B101)</f>
        <v>204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879</v>
      </c>
      <c r="AV102" s="62">
        <f>AV86+AV87*AV101</f>
        <v>51.406372093023258</v>
      </c>
      <c r="AW102" s="62">
        <f t="shared" ref="AW102:BS102" si="77">AW86+AW87*AW101</f>
        <v>51.841348837209303</v>
      </c>
      <c r="AX102" s="62">
        <f t="shared" si="77"/>
        <v>52.7113023255814</v>
      </c>
      <c r="AY102" s="62">
        <f t="shared" si="77"/>
        <v>53.363767441860467</v>
      </c>
      <c r="AZ102" s="62">
        <f t="shared" si="77"/>
        <v>53.363767441860467</v>
      </c>
      <c r="BA102" s="62">
        <f t="shared" si="77"/>
        <v>53.363767441860467</v>
      </c>
      <c r="BB102" s="62">
        <f t="shared" si="77"/>
        <v>53.363767441860467</v>
      </c>
      <c r="BC102" s="62">
        <f t="shared" si="77"/>
        <v>53.363767441860467</v>
      </c>
      <c r="BD102" s="62">
        <f t="shared" si="77"/>
        <v>53.363767441860467</v>
      </c>
      <c r="BE102" s="62">
        <f t="shared" si="77"/>
        <v>53.363767441860467</v>
      </c>
      <c r="BF102" s="62">
        <f t="shared" si="77"/>
        <v>52.928790697674415</v>
      </c>
      <c r="BG102" s="62">
        <f t="shared" si="77"/>
        <v>53.363767441860467</v>
      </c>
      <c r="BH102" s="62">
        <f t="shared" si="77"/>
        <v>53.363767441860467</v>
      </c>
      <c r="BI102" s="62">
        <f t="shared" si="77"/>
        <v>53.363767441860467</v>
      </c>
      <c r="BJ102" s="62">
        <f t="shared" si="77"/>
        <v>53.363767441860467</v>
      </c>
      <c r="BK102" s="62">
        <f t="shared" si="77"/>
        <v>53.146279069767445</v>
      </c>
      <c r="BL102" s="62">
        <f t="shared" si="77"/>
        <v>52.928790697674415</v>
      </c>
      <c r="BM102" s="62">
        <f t="shared" si="77"/>
        <v>52.928790697674415</v>
      </c>
      <c r="BN102" s="62">
        <f t="shared" si="77"/>
        <v>52.49381395348837</v>
      </c>
      <c r="BO102" s="62">
        <f t="shared" si="77"/>
        <v>52.276325581395355</v>
      </c>
      <c r="BP102" s="62">
        <f t="shared" si="77"/>
        <v>51.841348837209303</v>
      </c>
      <c r="BQ102" s="62">
        <f t="shared" si="77"/>
        <v>51.62386046511628</v>
      </c>
      <c r="BR102" s="62">
        <f t="shared" si="77"/>
        <v>51.406372093023258</v>
      </c>
      <c r="BS102" s="62">
        <f t="shared" si="77"/>
        <v>51.188883720930235</v>
      </c>
      <c r="BZ102" s="40" t="s">
        <v>879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880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881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882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883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884</v>
      </c>
      <c r="AU105" s="17">
        <f>VLOOKUP(AU59,[1]Trav!$B$12:$C$31,2)</f>
        <v>3</v>
      </c>
      <c r="BZ105" s="147" t="s">
        <v>884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884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885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suitées au pâturage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0</v>
      </c>
      <c r="BC106" s="184">
        <f>IF(BC60&gt;0,HLOOKUP(BC60,[1]Trav!$C$11:$O$31,$AU$105),0)</f>
        <v>0</v>
      </c>
      <c r="BD106" s="184">
        <f>IF(BD60&gt;0,HLOOKUP(BD60,[1]Trav!$C$11:$O$31,$AU$105),0)</f>
        <v>0</v>
      </c>
      <c r="BE106" s="184">
        <f>IF(BE60&gt;0,HLOOKUP(BE60,[1]Trav!$C$11:$O$31,$AU$105),0)</f>
        <v>0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886</v>
      </c>
      <c r="B107" s="46">
        <f>SUM(F61:F64)</f>
        <v>400</v>
      </c>
      <c r="D107" s="191"/>
      <c r="AT107" s="183" t="str">
        <f t="shared" si="80"/>
        <v xml:space="preserve">Vaches lot principal 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0</v>
      </c>
      <c r="BB107" s="184">
        <f>IF(BB61&gt;0,HLOOKUP(BB61,[1]Trav!$C$11:$O$31,$AU$105),0)</f>
        <v>0</v>
      </c>
      <c r="BC107" s="184">
        <f>IF(BC61&gt;0,HLOOKUP(BC61,[1]Trav!$C$11:$O$31,$AU$105),0)</f>
        <v>0</v>
      </c>
      <c r="BD107" s="184">
        <f>IF(BD61&gt;0,HLOOKUP(BD61,[1]Trav!$C$11:$O$31,$AU$105),0)</f>
        <v>0</v>
      </c>
      <c r="BE107" s="184">
        <f>IF(BE61&gt;0,HLOOKUP(BE61,[1]Trav!$C$11:$O$31,$AU$105),0)</f>
        <v>0</v>
      </c>
      <c r="BF107" s="184">
        <f>IF(BF61&gt;0,HLOOKUP(BF61,[1]Trav!$C$11:$O$31,$AU$105),0)</f>
        <v>0</v>
      </c>
      <c r="BG107" s="184">
        <f>IF(BG61&gt;0,HLOOKUP(BG61,[1]Trav!$C$11:$O$31,$AU$105),0)</f>
        <v>0</v>
      </c>
      <c r="BH107" s="184">
        <f>IF(BH61&gt;0,HLOOKUP(BH61,[1]Trav!$C$11:$O$31,$AU$105),0)</f>
        <v>0</v>
      </c>
      <c r="BI107" s="184">
        <f>IF(BI61&gt;0,HLOOKUP(BI61,[1]Trav!$C$11:$O$31,$AU$105),0)</f>
        <v>0</v>
      </c>
      <c r="BJ107" s="184">
        <f>IF(BJ61&gt;0,HLOOKUP(BJ61,[1]Trav!$C$11:$O$31,$AU$105),0)</f>
        <v>0</v>
      </c>
      <c r="BK107" s="184">
        <f>IF(BK61&gt;0,HLOOKUP(BK61,[1]Trav!$C$11:$O$31,$AU$105),0)</f>
        <v>0</v>
      </c>
      <c r="BL107" s="184">
        <f>IF(BL61&gt;0,HLOOKUP(BL61,[1]Trav!$C$11:$O$31,$AU$105),0)</f>
        <v>0</v>
      </c>
      <c r="BM107" s="184">
        <f>IF(BM61&gt;0,HLOOKUP(BM61,[1]Trav!$C$11:$O$31,$AU$105),0)</f>
        <v>0</v>
      </c>
      <c r="BN107" s="184">
        <f>IF(BN61&gt;0,HLOOKUP(BN61,[1]Trav!$C$11:$O$31,$AU$105),0)</f>
        <v>0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887</v>
      </c>
      <c r="B108" s="46">
        <f>SUM(F50:F59)</f>
        <v>400</v>
      </c>
      <c r="D108" s="191"/>
      <c r="AT108" s="183" t="str">
        <f t="shared" si="80"/>
        <v>Génisses renouvellement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888</v>
      </c>
      <c r="B109" s="30">
        <f>F69+F72</f>
        <v>0</v>
      </c>
      <c r="D109" s="191"/>
      <c r="AT109" s="183" t="str">
        <f t="shared" si="80"/>
        <v>génisses 2/3 ans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889</v>
      </c>
      <c r="B110" s="30">
        <f>F70+F73</f>
        <v>0</v>
      </c>
      <c r="D110" s="191"/>
      <c r="AT110" s="183" t="str">
        <f t="shared" si="80"/>
        <v>tardive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890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891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892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893</v>
      </c>
      <c r="B114" s="30">
        <f>F81</f>
        <v>9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894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895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896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0</v>
      </c>
      <c r="BB117" s="169">
        <f t="shared" si="83"/>
        <v>0</v>
      </c>
      <c r="BC117" s="169">
        <f t="shared" si="83"/>
        <v>0</v>
      </c>
      <c r="BD117" s="169">
        <f t="shared" si="83"/>
        <v>0</v>
      </c>
      <c r="BE117" s="169">
        <f t="shared" si="83"/>
        <v>0</v>
      </c>
      <c r="BF117" s="169">
        <f t="shared" si="83"/>
        <v>0</v>
      </c>
      <c r="BG117" s="169">
        <f t="shared" si="83"/>
        <v>0</v>
      </c>
      <c r="BH117" s="169">
        <f t="shared" si="83"/>
        <v>0</v>
      </c>
      <c r="BI117" s="169">
        <f t="shared" si="83"/>
        <v>0</v>
      </c>
      <c r="BJ117" s="169">
        <f t="shared" si="83"/>
        <v>0</v>
      </c>
      <c r="BK117" s="169">
        <f t="shared" si="83"/>
        <v>0</v>
      </c>
      <c r="BL117" s="169">
        <f t="shared" si="83"/>
        <v>0</v>
      </c>
      <c r="BM117" s="169">
        <f t="shared" si="83"/>
        <v>0</v>
      </c>
      <c r="BN117" s="169">
        <f t="shared" si="83"/>
        <v>0</v>
      </c>
      <c r="BO117" s="169">
        <f t="shared" si="83"/>
        <v>0</v>
      </c>
      <c r="BP117" s="169">
        <f t="shared" si="83"/>
        <v>0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896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896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897</v>
      </c>
      <c r="B118" s="195">
        <f>B91+B95+B99+B103</f>
        <v>1469.7237209302327</v>
      </c>
      <c r="D118" s="196">
        <f>B118/Troupeau!$B$17</f>
        <v>36.743093023255817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898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899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900</v>
      </c>
      <c r="B122" s="195">
        <f>SUM(B118:B120)</f>
        <v>1469.7237209302327</v>
      </c>
    </row>
    <row r="123" spans="1:132" x14ac:dyDescent="0.25">
      <c r="A123" s="2" t="s">
        <v>887</v>
      </c>
      <c r="B123" s="30">
        <f>B108</f>
        <v>400</v>
      </c>
    </row>
    <row r="124" spans="1:132" x14ac:dyDescent="0.25">
      <c r="A124" s="2" t="s">
        <v>901</v>
      </c>
      <c r="B124" s="30">
        <f>B107</f>
        <v>400</v>
      </c>
    </row>
    <row r="125" spans="1:132" x14ac:dyDescent="0.25">
      <c r="A125" s="2" t="s">
        <v>902</v>
      </c>
      <c r="B125" s="30">
        <f>B112+B113</f>
        <v>0</v>
      </c>
    </row>
    <row r="126" spans="1:132" x14ac:dyDescent="0.25">
      <c r="A126" s="2" t="s">
        <v>903</v>
      </c>
      <c r="B126" s="30">
        <f>B114+B115+B116</f>
        <v>9</v>
      </c>
    </row>
    <row r="128" spans="1:132" x14ac:dyDescent="0.25">
      <c r="A128" s="2" t="s">
        <v>904</v>
      </c>
      <c r="B128" s="195">
        <f>SUM(B122:B126)</f>
        <v>2278.723720930233</v>
      </c>
    </row>
    <row r="129" spans="1:2" x14ac:dyDescent="0.25">
      <c r="A129" s="2" t="s">
        <v>905</v>
      </c>
      <c r="B129" s="30">
        <f>IF(Scénario!K129=1,Travail!F77+Travail!F86,F86)</f>
        <v>0</v>
      </c>
    </row>
    <row r="130" spans="1:2" x14ac:dyDescent="0.25">
      <c r="A130" s="2" t="s">
        <v>906</v>
      </c>
      <c r="B130" s="195">
        <f>ROUND((B128-B129)/(Scénario!K4+Scénario!K6),0)</f>
        <v>2279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9" zoomScale="90" zoomScaleNormal="90" workbookViewId="0">
      <selection activeCell="T39" sqref="T3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907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908</v>
      </c>
      <c r="R2" s="23" t="s">
        <v>909</v>
      </c>
      <c r="S2" s="23"/>
      <c r="T2" t="s">
        <v>910</v>
      </c>
    </row>
    <row r="3" spans="1:59" ht="18.75" x14ac:dyDescent="0.3">
      <c r="A3" s="201"/>
      <c r="B3" s="33" t="s">
        <v>911</v>
      </c>
      <c r="C3" s="33" t="s">
        <v>912</v>
      </c>
      <c r="D3" s="33" t="s">
        <v>913</v>
      </c>
      <c r="E3" s="167"/>
      <c r="F3" s="33" t="s">
        <v>914</v>
      </c>
      <c r="G3" s="33" t="s">
        <v>915</v>
      </c>
      <c r="H3" s="33" t="s">
        <v>916</v>
      </c>
      <c r="I3" s="168"/>
    </row>
    <row r="4" spans="1:59" x14ac:dyDescent="0.25">
      <c r="B4" s="167" t="str">
        <f>Troupeau!B3</f>
        <v>BV</v>
      </c>
      <c r="C4" s="167">
        <f>Troupeau!C3</f>
        <v>0</v>
      </c>
      <c r="D4" s="167">
        <f>Troupeau!D3</f>
        <v>0</v>
      </c>
      <c r="E4" s="167"/>
      <c r="F4" s="167" t="str">
        <f>+B4</f>
        <v>BV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BV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917</v>
      </c>
      <c r="U4" s="14"/>
      <c r="V4" s="14"/>
      <c r="W4" s="14"/>
      <c r="AB4" s="2" t="s">
        <v>918</v>
      </c>
    </row>
    <row r="5" spans="1:59" x14ac:dyDescent="0.25">
      <c r="A5" t="s">
        <v>919</v>
      </c>
      <c r="B5" s="169">
        <f>T6-(T5/100*T6)</f>
        <v>0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0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0</v>
      </c>
      <c r="K5" s="169">
        <f>ROUND(B5*F5/1000,0)</f>
        <v>0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920</v>
      </c>
      <c r="T5" s="30">
        <f>Scénario!K16</f>
        <v>0</v>
      </c>
      <c r="U5" s="14"/>
      <c r="V5" s="14"/>
      <c r="X5" s="14" t="s">
        <v>921</v>
      </c>
      <c r="Y5" s="30">
        <f>IF(Scénario!K17=1,[1]Eco!$B$51,[1]Eco!$B$52)</f>
        <v>1030</v>
      </c>
      <c r="AB5" t="s">
        <v>922</v>
      </c>
      <c r="AC5" t="s">
        <v>17</v>
      </c>
      <c r="AD5" t="s">
        <v>278</v>
      </c>
      <c r="AF5" s="167" t="s">
        <v>923</v>
      </c>
      <c r="AG5" s="167" t="s">
        <v>924</v>
      </c>
      <c r="AH5" s="167" t="s">
        <v>925</v>
      </c>
      <c r="AI5" s="167" t="s">
        <v>926</v>
      </c>
      <c r="AJ5" s="167" t="s">
        <v>927</v>
      </c>
    </row>
    <row r="6" spans="1:59" x14ac:dyDescent="0.25">
      <c r="A6" t="s">
        <v>928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929</v>
      </c>
      <c r="T6" s="30">
        <f>Troupeau!B35</f>
        <v>0</v>
      </c>
      <c r="U6" s="14"/>
      <c r="V6" s="14"/>
      <c r="X6" s="14" t="s">
        <v>930</v>
      </c>
      <c r="Y6" s="30">
        <f>IF(Scénario!K17=1,[1]Eco!$B$55,[1]Eco!$B$56)</f>
        <v>0</v>
      </c>
      <c r="AA6">
        <v>1</v>
      </c>
      <c r="AB6" s="30">
        <f>'Alim -Surf'!D34</f>
        <v>6</v>
      </c>
      <c r="AC6" s="30" t="str">
        <f>LEFT('Alim -Surf'!B34,10)</f>
        <v>maïs ensil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28</v>
      </c>
      <c r="AC7" s="30" t="str">
        <f>LEFT('Alim -Surf'!B35,10)</f>
        <v>landes lit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931</v>
      </c>
      <c r="B9" s="169">
        <f>Troupeau!B43</f>
        <v>16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836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13376</v>
      </c>
      <c r="K9" s="169">
        <f>ROUND(B9*F9,0)</f>
        <v>13376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932</v>
      </c>
      <c r="T9" s="36" t="s">
        <v>917</v>
      </c>
      <c r="U9" s="167" t="s">
        <v>933</v>
      </c>
      <c r="V9" s="36" t="s">
        <v>934</v>
      </c>
      <c r="W9" s="167" t="s">
        <v>935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936</v>
      </c>
      <c r="B10" s="169">
        <f>Troupeau!B39</f>
        <v>7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656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4592</v>
      </c>
      <c r="K10" s="169">
        <f t="shared" ref="K10:K16" si="7">ROUND(B10*F10,0)</f>
        <v>4592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937</v>
      </c>
      <c r="T10" s="169">
        <f>Scénario!K18</f>
        <v>20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938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939</v>
      </c>
      <c r="T11" s="169">
        <f>Troupeau!B37</f>
        <v>9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940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941</v>
      </c>
      <c r="T12" s="169">
        <f>ROUNDDOWN(T11*T10/100,0)</f>
        <v>1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942</v>
      </c>
      <c r="B13" s="169">
        <f>T11-B14</f>
        <v>8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1136.2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9090</v>
      </c>
      <c r="K13" s="169">
        <f t="shared" si="7"/>
        <v>9090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943</v>
      </c>
      <c r="B14" s="169">
        <f>ROUNDDOWN(T11*T10/100,0)</f>
        <v>1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2151.6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2152</v>
      </c>
      <c r="K14" s="169">
        <f t="shared" si="7"/>
        <v>2152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918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944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1044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945</v>
      </c>
      <c r="S15" s="32" t="s">
        <v>946</v>
      </c>
      <c r="T15" s="5" t="s">
        <v>947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948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-2527.8000000000002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923</v>
      </c>
      <c r="R16" s="30">
        <f>'Alim -Surf'!K13</f>
        <v>-9.8000000000000007</v>
      </c>
      <c r="S16" s="5">
        <f>IF(R16&gt;0,R16,0)</f>
        <v>0</v>
      </c>
      <c r="T16" s="5">
        <f>IF(R16&lt;0,-R16,0)</f>
        <v>9.8000000000000007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949</v>
      </c>
      <c r="R17" s="30">
        <f>'Alim -Surf'!K14</f>
        <v>-4.5</v>
      </c>
      <c r="S17" s="5">
        <f>IF(R17&gt;0,R17,0)</f>
        <v>0</v>
      </c>
      <c r="T17" s="5">
        <f t="shared" ref="T17:T18" si="12">IF(R17&lt;0,-R17,0)</f>
        <v>4.5</v>
      </c>
      <c r="U17" s="5"/>
      <c r="V17" s="5"/>
      <c r="W17" s="5"/>
      <c r="X17" s="5"/>
      <c r="Y17" s="5"/>
      <c r="Z17" s="5"/>
      <c r="AA17" s="5"/>
      <c r="AB17" s="5"/>
      <c r="AC17" s="169" t="s">
        <v>278</v>
      </c>
      <c r="AD17" s="169" t="s">
        <v>945</v>
      </c>
      <c r="AE17" s="169" t="s">
        <v>950</v>
      </c>
      <c r="AF17" s="169" t="s">
        <v>951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952</v>
      </c>
      <c r="B18" s="167"/>
      <c r="C18" s="36" t="s">
        <v>953</v>
      </c>
      <c r="D18" s="33" t="s">
        <v>954</v>
      </c>
      <c r="E18" s="168"/>
      <c r="F18" s="36" t="s">
        <v>955</v>
      </c>
      <c r="G18" s="36" t="s">
        <v>956</v>
      </c>
      <c r="H18" s="168"/>
      <c r="I18" s="168"/>
      <c r="J18" s="5"/>
      <c r="K18" s="5"/>
      <c r="L18" s="5"/>
      <c r="M18" s="5"/>
      <c r="N18" s="5"/>
      <c r="P18" s="5"/>
      <c r="Q18" s="5" t="s">
        <v>957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923</v>
      </c>
      <c r="AC18" s="169">
        <f>SUM(AF6:AF15)</f>
        <v>0</v>
      </c>
      <c r="AD18" s="169">
        <f>'Alim -Surf'!K13</f>
        <v>-9.8000000000000007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923</v>
      </c>
      <c r="B19" s="169"/>
      <c r="C19" s="169">
        <f>AE18</f>
        <v>0</v>
      </c>
      <c r="D19" s="169">
        <f>AF18</f>
        <v>0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958</v>
      </c>
      <c r="AC19" s="169">
        <f>SUM(AG6:AI15)</f>
        <v>0</v>
      </c>
      <c r="AD19" s="169">
        <f>'Alim -Surf'!K14</f>
        <v>-4.5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958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959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927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960</v>
      </c>
      <c r="AA22"/>
      <c r="AB22"/>
      <c r="AC22"/>
      <c r="AD22"/>
      <c r="AE22" t="s">
        <v>961</v>
      </c>
      <c r="AF22"/>
      <c r="AG22"/>
      <c r="AH22"/>
      <c r="AI22" t="s">
        <v>962</v>
      </c>
      <c r="AJ22"/>
      <c r="AK22"/>
      <c r="AM22"/>
      <c r="AN22" t="s">
        <v>963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964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965</v>
      </c>
      <c r="S24" s="18"/>
      <c r="T24" s="5" t="s">
        <v>966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967</v>
      </c>
      <c r="X26" t="s">
        <v>968</v>
      </c>
      <c r="AA26" s="167" t="s">
        <v>969</v>
      </c>
      <c r="AB26" s="167" t="s">
        <v>970</v>
      </c>
      <c r="AC26" s="167" t="s">
        <v>719</v>
      </c>
      <c r="AD26" s="5"/>
      <c r="AE26" s="167" t="s">
        <v>969</v>
      </c>
      <c r="AF26" s="167" t="s">
        <v>971</v>
      </c>
      <c r="AG26" s="167" t="s">
        <v>719</v>
      </c>
      <c r="AI26" s="167" t="s">
        <v>969</v>
      </c>
      <c r="AJ26" s="167" t="s">
        <v>972</v>
      </c>
      <c r="AK26" s="167" t="s">
        <v>719</v>
      </c>
      <c r="AL26" s="168"/>
      <c r="AN26" s="167" t="s">
        <v>969</v>
      </c>
      <c r="AO26" s="167" t="s">
        <v>973</v>
      </c>
      <c r="AP26" s="167" t="s">
        <v>719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917</v>
      </c>
      <c r="S27" s="167" t="s">
        <v>933</v>
      </c>
      <c r="T27" s="167" t="s">
        <v>934</v>
      </c>
      <c r="U27" s="167" t="s">
        <v>935</v>
      </c>
      <c r="V27" s="167" t="s">
        <v>13</v>
      </c>
      <c r="X27" s="15" t="s">
        <v>974</v>
      </c>
      <c r="Z27" s="207" t="s">
        <v>975</v>
      </c>
      <c r="AA27" s="184">
        <f>[1]Eco!$F$4</f>
        <v>166</v>
      </c>
      <c r="AB27" s="208">
        <f>IF(X28&gt;50,50,X28)</f>
        <v>40</v>
      </c>
      <c r="AC27" s="169">
        <f>AA27*AB27</f>
        <v>6640</v>
      </c>
      <c r="AD27" s="5" t="s">
        <v>976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977</v>
      </c>
      <c r="AN27" s="184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453</v>
      </c>
      <c r="R28" s="169">
        <f>IF(Troupeau!B$3="BV",Troupeau!B$17,0)</f>
        <v>40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40</v>
      </c>
      <c r="W28" s="14" t="s">
        <v>453</v>
      </c>
      <c r="X28" s="169">
        <f>V28/$T$25</f>
        <v>40</v>
      </c>
      <c r="Z28" s="14" t="s">
        <v>978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979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980</v>
      </c>
      <c r="AK28" s="62">
        <f>AK27*T25</f>
        <v>0</v>
      </c>
      <c r="AL28" s="36"/>
      <c r="AM28" s="14" t="s">
        <v>981</v>
      </c>
      <c r="AN28" s="184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982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498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0</v>
      </c>
      <c r="W29" s="14" t="s">
        <v>498</v>
      </c>
      <c r="X29" s="169">
        <f>V29/$T$25</f>
        <v>0</v>
      </c>
      <c r="Z29" s="14" t="s">
        <v>983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980</v>
      </c>
      <c r="AG29" s="62">
        <f>SUM(AG27:AG28)*T25</f>
        <v>0</v>
      </c>
      <c r="AO29" s="40" t="s">
        <v>980</v>
      </c>
      <c r="AP29" s="62">
        <f>IF(Scénario!K10=1,'Calcul éco'!AP27,'Calcul éco'!AP28)*T25</f>
        <v>0</v>
      </c>
    </row>
    <row r="30" spans="1:143" x14ac:dyDescent="0.25">
      <c r="A30" s="15" t="s">
        <v>984</v>
      </c>
      <c r="B30" s="168"/>
      <c r="C30" s="169">
        <f>IF('Alim -Surf'!K27&gt;0,'Alim -Surf'!K27,0)</f>
        <v>0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0</v>
      </c>
      <c r="K30" s="169"/>
      <c r="L30" s="169"/>
      <c r="M30" s="169"/>
      <c r="N30" s="169"/>
      <c r="O30" s="204"/>
      <c r="Q30" s="14" t="s">
        <v>502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985</v>
      </c>
      <c r="X30" s="169">
        <f>(V30+V31)/$T$25</f>
        <v>0</v>
      </c>
      <c r="AB30" s="40" t="s">
        <v>980</v>
      </c>
      <c r="AC30" s="62">
        <f>SUM(AC27:AC29)*T25</f>
        <v>6640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986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 s="271"/>
      <c r="AF31" s="271"/>
      <c r="AG31" s="272" t="s">
        <v>1428</v>
      </c>
      <c r="AH31" s="272"/>
      <c r="AI31" s="272"/>
      <c r="AJ31" s="272" t="s">
        <v>1429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987</v>
      </c>
      <c r="Q32" s="14" t="s">
        <v>988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988</v>
      </c>
      <c r="X32" s="169">
        <f>V32/T25</f>
        <v>0</v>
      </c>
      <c r="AE32" s="271"/>
      <c r="AF32" s="271"/>
      <c r="AG32" s="271" t="s">
        <v>1430</v>
      </c>
      <c r="AH32" s="271" t="s">
        <v>1431</v>
      </c>
      <c r="AI32" s="271" t="s">
        <v>169</v>
      </c>
      <c r="AJ32" s="271" t="s">
        <v>1432</v>
      </c>
    </row>
    <row r="33" spans="1:143" x14ac:dyDescent="0.25">
      <c r="A33" s="2" t="s">
        <v>989</v>
      </c>
      <c r="Q33" s="167"/>
      <c r="R33" s="167"/>
      <c r="S33" s="167"/>
      <c r="T33" s="167"/>
      <c r="U33" s="167"/>
      <c r="X33" s="168"/>
      <c r="AE33" s="271"/>
      <c r="AF33" s="271" t="s">
        <v>453</v>
      </c>
      <c r="AG33" s="271">
        <f>V28</f>
        <v>40</v>
      </c>
      <c r="AH33" s="271">
        <f>ROUND(AG33*0.24,0)</f>
        <v>10</v>
      </c>
      <c r="AI33" s="271">
        <f>AG33+AH33*1.5*0.6</f>
        <v>49</v>
      </c>
      <c r="AJ33" s="271"/>
    </row>
    <row r="34" spans="1:143" x14ac:dyDescent="0.25">
      <c r="A34" t="s">
        <v>990</v>
      </c>
      <c r="J34" s="169">
        <f>AC30</f>
        <v>6640</v>
      </c>
      <c r="K34" s="169"/>
      <c r="L34" s="169"/>
      <c r="M34" s="169"/>
      <c r="N34" s="169"/>
      <c r="O34" s="204"/>
      <c r="Q34" s="198" t="s">
        <v>991</v>
      </c>
      <c r="R34" s="169">
        <f>AB228</f>
        <v>0</v>
      </c>
      <c r="S34" s="167"/>
      <c r="T34" s="152"/>
      <c r="U34" s="167"/>
      <c r="X34" s="168"/>
      <c r="AB34" s="14"/>
      <c r="AE34" s="271"/>
      <c r="AF34" s="271" t="s">
        <v>498</v>
      </c>
      <c r="AG34" s="271">
        <f t="shared" ref="AG34:AG35" si="18">V29</f>
        <v>0</v>
      </c>
      <c r="AH34" s="271">
        <f>ROUND(AG34*0.3,0)</f>
        <v>0</v>
      </c>
      <c r="AI34" s="271">
        <f t="shared" ref="AI34" si="19">AG34+AH34*1.5*0.6</f>
        <v>0</v>
      </c>
      <c r="AJ34" s="271"/>
    </row>
    <row r="35" spans="1:143" x14ac:dyDescent="0.25">
      <c r="A35" t="s">
        <v>992</v>
      </c>
      <c r="J35" s="169">
        <f>AP29</f>
        <v>0</v>
      </c>
      <c r="K35" s="169"/>
      <c r="L35" s="169"/>
      <c r="M35" s="169"/>
      <c r="N35" s="169"/>
      <c r="O35" s="204"/>
      <c r="X35" s="2" t="s">
        <v>993</v>
      </c>
      <c r="Y35" s="14" t="s">
        <v>994</v>
      </c>
      <c r="Z35" s="62" t="str">
        <f>Scénario!K9</f>
        <v>M1</v>
      </c>
      <c r="AE35" s="271"/>
      <c r="AF35" s="271" t="s">
        <v>502</v>
      </c>
      <c r="AG35" s="271">
        <f t="shared" si="18"/>
        <v>0</v>
      </c>
      <c r="AH35" s="271"/>
      <c r="AI35" s="271">
        <f>AG35*0.15</f>
        <v>0</v>
      </c>
      <c r="AJ35" s="271"/>
    </row>
    <row r="36" spans="1:143" x14ac:dyDescent="0.25">
      <c r="A36" t="s">
        <v>995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996</v>
      </c>
      <c r="Z36" s="62" t="str">
        <f>IF(Y53&gt;50,CONCATENATE(Z35,"O"),Z35)</f>
        <v>M1</v>
      </c>
      <c r="AA36" s="5"/>
      <c r="AB36" s="14" t="s">
        <v>997</v>
      </c>
      <c r="AC36" s="184">
        <f>VLOOKUP(Z36,[1]Eco!$A$36:$B$45,2)</f>
        <v>235</v>
      </c>
      <c r="AD36" s="5"/>
      <c r="AE36" s="271"/>
      <c r="AF36" s="273" t="s">
        <v>1036</v>
      </c>
      <c r="AG36" s="271"/>
      <c r="AH36" s="271"/>
      <c r="AI36" s="271">
        <f>SUM(AI33:AI35)</f>
        <v>49</v>
      </c>
      <c r="AJ36" s="273">
        <f>ROUND(AI36/V46,2)</f>
        <v>1.92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998</v>
      </c>
      <c r="J37" s="169">
        <f>AG29</f>
        <v>0</v>
      </c>
      <c r="K37" s="169"/>
      <c r="L37" s="169"/>
      <c r="M37" s="169"/>
      <c r="N37" s="169"/>
      <c r="O37" s="204"/>
      <c r="S37" s="40" t="s">
        <v>999</v>
      </c>
      <c r="T37" t="s">
        <v>1000</v>
      </c>
      <c r="U37" t="s">
        <v>1001</v>
      </c>
      <c r="V37" t="s">
        <v>1002</v>
      </c>
      <c r="X37" s="168"/>
      <c r="AB37" s="167" t="s">
        <v>1003</v>
      </c>
      <c r="AC37" s="167" t="s">
        <v>969</v>
      </c>
      <c r="AD37" s="167" t="s">
        <v>719</v>
      </c>
      <c r="AE37" s="274" t="s">
        <v>1433</v>
      </c>
      <c r="AF37" s="271"/>
      <c r="AG37" s="271"/>
      <c r="AH37" s="271"/>
      <c r="AI37" s="271"/>
      <c r="AJ37" s="272" t="s">
        <v>1434</v>
      </c>
    </row>
    <row r="38" spans="1:143" x14ac:dyDescent="0.25">
      <c r="A38" t="s">
        <v>1004</v>
      </c>
      <c r="J38" s="169">
        <f>AK28</f>
        <v>0</v>
      </c>
      <c r="K38" s="169"/>
      <c r="L38" s="169"/>
      <c r="M38" s="169"/>
      <c r="N38" s="169"/>
      <c r="O38" s="204"/>
      <c r="S38" s="14" t="s">
        <v>1005</v>
      </c>
      <c r="T38" s="169">
        <f>SUM('Alim -Surf'!E34:E43)-'Alim -Surf'!E35</f>
        <v>2.0999999999999996</v>
      </c>
      <c r="U38" s="169">
        <v>1</v>
      </c>
      <c r="V38" s="169">
        <f>T38*U38</f>
        <v>2.0999999999999996</v>
      </c>
      <c r="Y38" s="14" t="s">
        <v>1006</v>
      </c>
      <c r="Z38" s="30">
        <f>V46</f>
        <v>25.520000000000003</v>
      </c>
      <c r="AA38" s="14" t="s">
        <v>1007</v>
      </c>
      <c r="AB38" s="169">
        <f>IF(Z39&gt;25, 25,Z39)</f>
        <v>25</v>
      </c>
      <c r="AC38" s="169">
        <f>AC40+AC36</f>
        <v>305</v>
      </c>
      <c r="AD38" s="169">
        <f>AB38*AC38</f>
        <v>7625</v>
      </c>
      <c r="AE38" s="273">
        <f>IF($AJ$40=0,AB38*$AC$40,AD38*$AJ$40/100)</f>
        <v>6862.5</v>
      </c>
      <c r="AF38" s="271"/>
      <c r="AG38" s="271"/>
      <c r="AH38" s="271"/>
      <c r="AI38" s="275" t="s">
        <v>1435</v>
      </c>
      <c r="AJ38" s="273">
        <f>VLOOKUP(Z35,[1]Eco!$I$37:$K$41,2)</f>
        <v>1.7</v>
      </c>
    </row>
    <row r="39" spans="1:143" x14ac:dyDescent="0.25">
      <c r="A39" t="s">
        <v>1008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268</v>
      </c>
      <c r="T39" s="169">
        <f>'Alim -Surf'!O7</f>
        <v>8.1000000000000014</v>
      </c>
      <c r="U39" s="169">
        <f>[1]Eco!$B$20/100</f>
        <v>1</v>
      </c>
      <c r="V39" s="169">
        <f t="shared" ref="V39:V41" si="20">T39*U39</f>
        <v>8.1000000000000014</v>
      </c>
      <c r="Y39" s="14" t="s">
        <v>1009</v>
      </c>
      <c r="Z39" s="30">
        <f>Z38/T25</f>
        <v>25.520000000000003</v>
      </c>
      <c r="AA39" s="14" t="s">
        <v>1010</v>
      </c>
      <c r="AB39" s="169">
        <f>IF(Z39&gt;50,25,IF(Z39&gt;25,Z39-25,0))</f>
        <v>0.52000000000000313</v>
      </c>
      <c r="AC39" s="169">
        <f>AC40+0.66*AC36</f>
        <v>225.1</v>
      </c>
      <c r="AD39" s="169">
        <f t="shared" ref="AD39:AD40" si="21">AB39*AC39</f>
        <v>117.0520000000007</v>
      </c>
      <c r="AE39" s="273">
        <f>IF($AJ$40=0,AB39*$AC$40,AD39*$AJ$40/100)</f>
        <v>105.34680000000064</v>
      </c>
      <c r="AF39" s="271"/>
      <c r="AG39" s="271"/>
      <c r="AH39" s="271"/>
      <c r="AI39" s="275" t="s">
        <v>1436</v>
      </c>
      <c r="AJ39" s="273">
        <f>VLOOKUP(Z36,[1]Eco!$I$37:$K$41,3)</f>
        <v>2.5</v>
      </c>
    </row>
    <row r="40" spans="1:143" x14ac:dyDescent="0.25">
      <c r="A40" t="s">
        <v>557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269</v>
      </c>
      <c r="T40" s="169">
        <f>'Alim -Surf'!O29</f>
        <v>9.5</v>
      </c>
      <c r="U40" s="169">
        <f>[1]Eco!$B$21/100</f>
        <v>1</v>
      </c>
      <c r="V40" s="169">
        <f t="shared" si="20"/>
        <v>9.5</v>
      </c>
      <c r="AA40" s="14" t="s">
        <v>1011</v>
      </c>
      <c r="AB40" s="169">
        <f>IF(Z39&gt;75,25,IF(Z39&gt;50,Z39-50,0))</f>
        <v>0</v>
      </c>
      <c r="AC40" s="184">
        <f>[1]Eco!$B$34</f>
        <v>70</v>
      </c>
      <c r="AD40" s="169">
        <f t="shared" si="21"/>
        <v>0</v>
      </c>
      <c r="AE40" s="273">
        <f>IF($AJ$40=0,AB40*$AC$40,AD40*$AJ$40/100)</f>
        <v>0</v>
      </c>
      <c r="AF40" s="271"/>
      <c r="AG40" s="271"/>
      <c r="AH40" s="271"/>
      <c r="AI40" s="275" t="s">
        <v>1437</v>
      </c>
      <c r="AJ40" s="273">
        <f>IF(AJ36&lt;=AJ38,100,IF(AJ36&lt;=AJ39,90,0))</f>
        <v>90</v>
      </c>
    </row>
    <row r="41" spans="1:143" x14ac:dyDescent="0.25">
      <c r="A41" s="23" t="s">
        <v>1012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270</v>
      </c>
      <c r="T41" s="169">
        <f>'Alim -Surf'!O51</f>
        <v>9.6999999999999993</v>
      </c>
      <c r="U41" s="169">
        <f>[1]Eco!$B$22/100</f>
        <v>0.6</v>
      </c>
      <c r="V41" s="169">
        <f t="shared" si="20"/>
        <v>5.8199999999999994</v>
      </c>
      <c r="AC41" s="40" t="s">
        <v>980</v>
      </c>
      <c r="AD41" s="62">
        <f>SUM(AD38:AD40)*T25</f>
        <v>7742.0520000000006</v>
      </c>
      <c r="AE41" s="276">
        <f>ROUND(SUM(AE38:AE40)*T25,0)</f>
        <v>6968</v>
      </c>
      <c r="AF41" s="271"/>
      <c r="AG41" s="271"/>
      <c r="AH41" s="271"/>
      <c r="AI41" s="271"/>
      <c r="AJ41" s="271"/>
    </row>
    <row r="42" spans="1:143" x14ac:dyDescent="0.25">
      <c r="A42" t="s">
        <v>1013</v>
      </c>
      <c r="B42" s="30">
        <f>V46</f>
        <v>25.520000000000003</v>
      </c>
      <c r="C42" s="209">
        <f>[1]Eco!$B$24</f>
        <v>97</v>
      </c>
      <c r="J42" s="169">
        <f>B42*C42</f>
        <v>2475.4400000000005</v>
      </c>
      <c r="K42" s="169"/>
      <c r="L42" s="169"/>
      <c r="M42" s="169"/>
      <c r="N42" s="169"/>
      <c r="O42" s="204"/>
      <c r="R42" s="210"/>
      <c r="S42" s="205" t="s">
        <v>1014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1015</v>
      </c>
      <c r="AG42" s="211" t="s">
        <v>1016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1017</v>
      </c>
      <c r="B43" s="30">
        <f>IF(Z39&gt;52,52,Z39)*T25</f>
        <v>25.520000000000003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1250.4800000000002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1018</v>
      </c>
      <c r="B44" s="30">
        <f>B42</f>
        <v>25.520000000000003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1709.8400000000001</v>
      </c>
      <c r="K44" s="169"/>
      <c r="L44" s="169"/>
      <c r="M44" s="169"/>
      <c r="N44" s="169"/>
      <c r="O44" s="204"/>
      <c r="U44" s="40" t="s">
        <v>1019</v>
      </c>
      <c r="V44" s="62">
        <f>SUM(V38:V41)-T42</f>
        <v>25.520000000000003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1020</v>
      </c>
      <c r="J45" s="273">
        <f>IF(Scénario!K9=0,0,AE41)</f>
        <v>6968</v>
      </c>
      <c r="K45" s="169"/>
      <c r="L45" s="169"/>
      <c r="M45" s="169"/>
      <c r="N45" s="169"/>
      <c r="O45" s="204"/>
      <c r="U45" s="14" t="s">
        <v>1021</v>
      </c>
      <c r="V45" s="169">
        <f>S55</f>
        <v>0</v>
      </c>
      <c r="X45" s="211" t="s">
        <v>1022</v>
      </c>
      <c r="Y45" s="211"/>
      <c r="Z45" s="211"/>
      <c r="AA45" s="211"/>
      <c r="AB45" s="211"/>
      <c r="AC45" s="211"/>
      <c r="AD45" s="211"/>
      <c r="AE45" s="211"/>
      <c r="AF45" s="213" t="s">
        <v>567</v>
      </c>
      <c r="AG45" s="211"/>
      <c r="AH45" s="211" t="s">
        <v>1023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581</v>
      </c>
      <c r="BH45" s="211"/>
      <c r="BI45" s="211" t="s">
        <v>1023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588</v>
      </c>
      <c r="CJ45" s="213"/>
      <c r="CK45" s="213" t="s">
        <v>1023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1024</v>
      </c>
      <c r="DL45" s="213"/>
      <c r="DM45" s="213" t="s">
        <v>1023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1025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1026</v>
      </c>
      <c r="V46" s="62">
        <f>V44+V45</f>
        <v>25.520000000000003</v>
      </c>
      <c r="W46"/>
      <c r="X46" s="211"/>
      <c r="Y46" s="215" t="s">
        <v>917</v>
      </c>
      <c r="Z46" s="215" t="s">
        <v>933</v>
      </c>
      <c r="AA46" s="215" t="s">
        <v>934</v>
      </c>
      <c r="AB46" s="215" t="s">
        <v>935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453</v>
      </c>
      <c r="Y47" s="215">
        <f>IF(Troupeau!B$3="BV",Troupeau!B$49,0)</f>
        <v>49.75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49.75</v>
      </c>
      <c r="AD47" s="211"/>
      <c r="AE47" s="211"/>
      <c r="AF47" s="218" t="s">
        <v>1027</v>
      </c>
      <c r="AG47" s="211" t="str">
        <f>CdTrp1!A39</f>
        <v>Vaches suitées au pâturage</v>
      </c>
      <c r="AH47" s="215">
        <f>CdTrp1!B39</f>
        <v>0</v>
      </c>
      <c r="AI47" s="215">
        <f>CdTrp1!C39</f>
        <v>0</v>
      </c>
      <c r="AJ47" s="215">
        <f>CdTrp1!D39</f>
        <v>0</v>
      </c>
      <c r="AK47" s="215">
        <f>CdTrp1!E39</f>
        <v>0</v>
      </c>
      <c r="AL47" s="215">
        <f>CdTrp1!F39</f>
        <v>0</v>
      </c>
      <c r="AM47" s="215">
        <f>CdTrp1!G39</f>
        <v>0</v>
      </c>
      <c r="AN47" s="215">
        <f>CdTrp1!H39</f>
        <v>13.953488372093023</v>
      </c>
      <c r="AO47" s="215">
        <f>CdTrp1!I39</f>
        <v>12.093023255813954</v>
      </c>
      <c r="AP47" s="215">
        <f>CdTrp1!J39</f>
        <v>7.441860465116279</v>
      </c>
      <c r="AQ47" s="215">
        <f>CdTrp1!K39</f>
        <v>3.7209302325581395</v>
      </c>
      <c r="AR47" s="215">
        <f>CdTrp1!L39</f>
        <v>1.8604651162790697</v>
      </c>
      <c r="AS47" s="215">
        <f>CdTrp1!M39</f>
        <v>0</v>
      </c>
      <c r="AT47" s="215">
        <f>CdTrp1!N39</f>
        <v>0</v>
      </c>
      <c r="AU47" s="215">
        <f>CdTrp1!O39</f>
        <v>0</v>
      </c>
      <c r="AV47" s="215">
        <f>CdTrp1!P39</f>
        <v>0</v>
      </c>
      <c r="AW47" s="215">
        <f>CdTrp1!Q39</f>
        <v>0</v>
      </c>
      <c r="AX47" s="215">
        <f>CdTrp1!R39</f>
        <v>0</v>
      </c>
      <c r="AY47" s="215">
        <f>CdTrp1!S39</f>
        <v>0</v>
      </c>
      <c r="AZ47" s="215">
        <f>CdTrp1!T39</f>
        <v>0</v>
      </c>
      <c r="BA47" s="215">
        <f>CdTrp1!U39</f>
        <v>0</v>
      </c>
      <c r="BB47" s="215">
        <f>CdTrp1!V39</f>
        <v>0</v>
      </c>
      <c r="BC47" s="215">
        <f>CdTrp1!W39</f>
        <v>0</v>
      </c>
      <c r="BD47" s="215">
        <f>CdTrp1!X39</f>
        <v>0</v>
      </c>
      <c r="BE47" s="215">
        <f>CdTrp1!Y39</f>
        <v>0</v>
      </c>
      <c r="BF47" s="211"/>
      <c r="BG47" s="212" t="s">
        <v>1027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1027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1027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1028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48253.760000000009</v>
      </c>
      <c r="K48" s="220"/>
      <c r="L48" s="220"/>
      <c r="M48" s="220"/>
      <c r="N48" s="220"/>
      <c r="O48" s="221"/>
      <c r="X48" s="212" t="s">
        <v>498</v>
      </c>
      <c r="Y48" s="215">
        <f>IF(Troupeau!B$3="BL",Troupeau!B$49,0)</f>
        <v>0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0</v>
      </c>
      <c r="AD48" s="211"/>
      <c r="AE48" s="211"/>
      <c r="AF48" s="211"/>
      <c r="AG48" s="268" t="str">
        <f>CdTrp1!A40</f>
        <v xml:space="preserve">Vaches lot principal </v>
      </c>
      <c r="AH48" s="215">
        <f>CdTrp1!B40</f>
        <v>27.906976744186046</v>
      </c>
      <c r="AI48" s="215">
        <f>CdTrp1!C40</f>
        <v>30.697674418604652</v>
      </c>
      <c r="AJ48" s="215">
        <f>CdTrp1!D40</f>
        <v>30.697674418604652</v>
      </c>
      <c r="AK48" s="215">
        <f>CdTrp1!E40</f>
        <v>30.697674418604652</v>
      </c>
      <c r="AL48" s="215">
        <f>CdTrp1!F40</f>
        <v>30.697674418604652</v>
      </c>
      <c r="AM48" s="215">
        <f>CdTrp1!G40</f>
        <v>30.697674418604652</v>
      </c>
      <c r="AN48" s="215">
        <f>CdTrp1!H40</f>
        <v>14.232558139534884</v>
      </c>
      <c r="AO48" s="215">
        <f>CdTrp1!I40</f>
        <v>15.813953488372093</v>
      </c>
      <c r="AP48" s="215">
        <f>CdTrp1!J40</f>
        <v>19.767441860465116</v>
      </c>
      <c r="AQ48" s="215">
        <f>CdTrp1!K40</f>
        <v>22.930232558139537</v>
      </c>
      <c r="AR48" s="215">
        <f>CdTrp1!L40</f>
        <v>24.511627906976745</v>
      </c>
      <c r="AS48" s="215">
        <f>CdTrp1!M40</f>
        <v>26.093023255813954</v>
      </c>
      <c r="AT48" s="215">
        <f>CdTrp1!N40</f>
        <v>26.093023255813954</v>
      </c>
      <c r="AU48" s="215">
        <f>CdTrp1!O40</f>
        <v>26.093023255813954</v>
      </c>
      <c r="AV48" s="215">
        <f>IF(CdTrp1!B76=1,1,IF(CdTrp1!B76=2,2,IF(CdTrp1!B76=3,2,0)))</f>
        <v>0</v>
      </c>
      <c r="AW48" s="215">
        <f>IF(CdTrp1!C76=1,1,IF(CdTrp1!C76=2,2,IF(CdTrp1!C76=3,2,0)))</f>
        <v>0</v>
      </c>
      <c r="AX48" s="215">
        <f>IF(CdTrp1!D76=1,1,IF(CdTrp1!D76=2,2,IF(CdTrp1!D76=3,2,0)))</f>
        <v>0</v>
      </c>
      <c r="AY48" s="215">
        <f>IF(CdTrp1!E76=1,1,IF(CdTrp1!E76=2,2,IF(CdTrp1!E76=3,2,0)))</f>
        <v>0</v>
      </c>
      <c r="AZ48" s="215">
        <f>IF(CdTrp1!F76=1,1,IF(CdTrp1!F76=2,2,IF(CdTrp1!F76=3,2,0)))</f>
        <v>0</v>
      </c>
      <c r="BA48" s="215">
        <f>IF(CdTrp1!G76=1,1,IF(CdTrp1!G76=2,2,IF(CdTrp1!G76=3,2,0)))</f>
        <v>0</v>
      </c>
      <c r="BB48" s="215">
        <f>IF(CdTrp1!H76=1,1,IF(CdTrp1!H76=2,2,IF(CdTrp1!H76=3,2,0)))</f>
        <v>0</v>
      </c>
      <c r="BC48" s="215">
        <f>IF(CdTrp1!I76=1,1,IF(CdTrp1!I76=2,2,IF(CdTrp1!I76=3,2,0)))</f>
        <v>0</v>
      </c>
      <c r="BD48" s="215">
        <f>IF(CdTrp1!J76=1,1,IF(CdTrp1!J76=2,2,IF(CdTrp1!J76=3,2,0)))</f>
        <v>0</v>
      </c>
      <c r="BE48" s="215">
        <f>IF(CdTrp1!K76=1,1,IF(CdTrp1!K76=2,2,IF(CdTrp1!K76=3,2,0)))</f>
        <v>0</v>
      </c>
      <c r="BF48" s="215">
        <f>IF(CdTrp1!L76=1,1,IF(CdTrp1!L76=2,2,IF(CdTrp1!L76=3,2,0)))</f>
        <v>0</v>
      </c>
      <c r="BG48" s="215">
        <f>IF(CdTrp1!M76=1,1,IF(CdTrp1!M76=2,2,IF(CdTrp1!M76=3,2,0)))</f>
        <v>0</v>
      </c>
      <c r="BH48" s="215">
        <f>IF(CdTrp1!N76=1,1,IF(CdTrp1!N76=2,2,IF(CdTrp1!N76=3,2,0)))</f>
        <v>0</v>
      </c>
      <c r="BI48" s="215">
        <f>IF(CdTrp1!O76=1,1,IF(CdTrp1!O76=2,2,IF(CdTrp1!O76=3,2,0)))</f>
        <v>0</v>
      </c>
      <c r="BJ48" s="215">
        <f>IF(CdTrp1!P76=1,1,IF(CdTrp1!P76=2,2,IF(CdTrp1!P76=3,2,0)))</f>
        <v>0</v>
      </c>
      <c r="BK48" s="215">
        <f>IF(CdTrp1!Q76=1,1,IF(CdTrp1!Q76=2,2,IF(CdTrp1!Q76=3,2,0)))</f>
        <v>0</v>
      </c>
      <c r="BL48" s="215">
        <f>IF(CdTrp1!R76=1,1,IF(CdTrp1!R76=2,2,IF(CdTrp1!R76=3,2,0)))</f>
        <v>0</v>
      </c>
      <c r="BM48" s="215">
        <f>IF(CdTrp1!S76=1,1,IF(CdTrp1!S76=2,2,IF(CdTrp1!S76=3,2,0)))</f>
        <v>0</v>
      </c>
      <c r="BN48" s="215">
        <f>IF(CdTrp1!T76=1,1,IF(CdTrp1!T76=2,2,IF(CdTrp1!T76=3,2,0)))</f>
        <v>0</v>
      </c>
      <c r="BO48" s="215">
        <f>IF(CdTrp1!U76=1,1,IF(CdTrp1!U76=2,2,IF(CdTrp1!U76=3,2,0)))</f>
        <v>0</v>
      </c>
      <c r="BP48" s="215">
        <f>IF(CdTrp1!V76=1,1,IF(CdTrp1!V76=2,2,IF(CdTrp1!V76=3,2,0)))</f>
        <v>0</v>
      </c>
      <c r="BQ48" s="215">
        <f>IF(CdTrp1!W76=1,1,IF(CdTrp1!W76=2,2,IF(CdTrp1!W76=3,2,0)))</f>
        <v>0</v>
      </c>
      <c r="BR48" s="215">
        <f>IF(CdTrp1!X76=1,1,IF(CdTrp1!X76=2,2,IF(CdTrp1!X76=3,2,0)))</f>
        <v>0</v>
      </c>
      <c r="BS48" s="215">
        <f>IF(CdTrp1!Y76=1,1,IF(CdTrp1!Y76=2,2,IF(CdTrp1!Y76=3,2,0)))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IF(CdTrp2!B76=1,1,IF(CdTrp2!B76=2,2,IF(CdTrp2!B76=3,2,0)))</f>
        <v>0</v>
      </c>
      <c r="CC48" s="211">
        <f>IF(CdTrp2!C76=1,1,IF(CdTrp2!C76=2,2,IF(CdTrp2!C76=3,2,0)))</f>
        <v>0</v>
      </c>
      <c r="CD48" s="211">
        <f>IF(CdTrp2!D76=1,1,IF(CdTrp2!D76=2,2,IF(CdTrp2!D76=3,2,0)))</f>
        <v>0</v>
      </c>
      <c r="CE48" s="211">
        <f>IF(CdTrp2!E76=1,1,IF(CdTrp2!E76=2,2,IF(CdTrp2!E76=3,2,0)))</f>
        <v>0</v>
      </c>
      <c r="CF48" s="211">
        <f>IF(CdTrp2!F76=1,1,IF(CdTrp2!F76=2,2,IF(CdTrp2!F76=3,2,0)))</f>
        <v>0</v>
      </c>
      <c r="CG48" s="211">
        <f>IF(CdTrp2!G76=1,1,IF(CdTrp2!G76=2,2,IF(CdTrp2!G76=3,2,0)))</f>
        <v>0</v>
      </c>
      <c r="CH48" s="211">
        <f>IF(CdTrp2!H76=1,1,IF(CdTrp2!H76=2,2,IF(CdTrp2!H76=3,2,0)))</f>
        <v>0</v>
      </c>
      <c r="CI48" s="211">
        <f>IF(CdTrp2!I76=1,1,IF(CdTrp2!I76=2,2,IF(CdTrp2!I76=3,2,0)))</f>
        <v>0</v>
      </c>
      <c r="CJ48" s="211">
        <f>IF(CdTrp2!J76=1,1,IF(CdTrp2!J76=2,2,IF(CdTrp2!J76=3,2,0)))</f>
        <v>0</v>
      </c>
      <c r="CK48" s="211">
        <f>IF(CdTrp2!K76=1,1,IF(CdTrp2!K76=2,2,IF(CdTrp2!K76=3,2,0)))</f>
        <v>0</v>
      </c>
      <c r="CL48" s="211">
        <f>IF(CdTrp2!L76=1,1,IF(CdTrp2!L76=2,2,IF(CdTrp2!L76=3,2,0)))</f>
        <v>0</v>
      </c>
      <c r="CM48" s="211">
        <f>IF(CdTrp2!M76=1,1,IF(CdTrp2!M76=2,2,IF(CdTrp2!M76=3,2,0)))</f>
        <v>0</v>
      </c>
      <c r="CN48" s="211">
        <f>IF(CdTrp2!N76=1,1,IF(CdTrp2!N76=2,2,IF(CdTrp2!N76=3,2,0)))</f>
        <v>0</v>
      </c>
      <c r="CO48" s="211">
        <f>IF(CdTrp2!O76=1,1,IF(CdTrp2!O76=2,2,IF(CdTrp2!O76=3,2,0)))</f>
        <v>0</v>
      </c>
      <c r="CP48" s="211">
        <f>IF(CdTrp2!P76=1,1,IF(CdTrp2!P76=2,2,IF(CdTrp2!P76=3,2,0)))</f>
        <v>0</v>
      </c>
      <c r="CQ48" s="211">
        <f>IF(CdTrp2!Q76=1,1,IF(CdTrp2!Q76=2,2,IF(CdTrp2!Q76=3,2,0)))</f>
        <v>0</v>
      </c>
      <c r="CR48" s="211">
        <f>IF(CdTrp2!R76=1,1,IF(CdTrp2!R76=2,2,IF(CdTrp2!R76=3,2,0)))</f>
        <v>0</v>
      </c>
      <c r="CS48" s="211">
        <f>IF(CdTrp2!S76=1,1,IF(CdTrp2!S76=2,2,IF(CdTrp2!S76=3,2,0)))</f>
        <v>0</v>
      </c>
      <c r="CT48" s="211">
        <f>IF(CdTrp2!T76=1,1,IF(CdTrp2!T76=2,2,IF(CdTrp2!T76=3,2,0)))</f>
        <v>0</v>
      </c>
      <c r="CU48" s="211">
        <f>IF(CdTrp2!U76=1,1,IF(CdTrp2!U76=2,2,IF(CdTrp2!U76=3,2,0)))</f>
        <v>0</v>
      </c>
      <c r="CV48" s="211">
        <f>IF(CdTrp2!V76=1,1,IF(CdTrp2!V76=2,2,IF(CdTrp2!V76=3,2,0)))</f>
        <v>0</v>
      </c>
      <c r="CW48" s="211">
        <f>IF(CdTrp2!W76=1,1,IF(CdTrp2!W76=2,2,IF(CdTrp2!W76=3,2,0)))</f>
        <v>0</v>
      </c>
      <c r="CX48" s="211">
        <f>IF(CdTrp2!X76=1,1,IF(CdTrp2!X76=2,2,IF(CdTrp2!X76=3,2,0)))</f>
        <v>0</v>
      </c>
      <c r="CY48" s="211">
        <f>IF(CdTrp2!Y76=1,1,IF(CdTrp2!Y76=2,2,IF(CdTrp2!Y76=3,2,0)))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IF(CdTrp3!B76=1,1,IF(CdTrp3!B76=2,2,IF(CdTrp3!B76=3,2,0)))</f>
        <v>0</v>
      </c>
      <c r="DF48" s="215">
        <f>IF(CdTrp3!C76=1,1,IF(CdTrp3!C76=2,2,IF(CdTrp3!C76=3,2,0)))</f>
        <v>0</v>
      </c>
      <c r="DG48" s="215">
        <f>IF(CdTrp3!D76=1,1,IF(CdTrp3!D76=2,2,IF(CdTrp3!D76=3,2,0)))</f>
        <v>0</v>
      </c>
      <c r="DH48" s="215">
        <f>IF(CdTrp3!E76=1,1,IF(CdTrp3!E76=2,2,IF(CdTrp3!E76=3,2,0)))</f>
        <v>0</v>
      </c>
      <c r="DI48" s="215">
        <f>IF(CdTrp3!F76=1,1,IF(CdTrp3!F76=2,2,IF(CdTrp3!F76=3,2,0)))</f>
        <v>0</v>
      </c>
      <c r="DJ48" s="215">
        <f>IF(CdTrp3!G76=1,1,IF(CdTrp3!G76=2,2,IF(CdTrp3!G76=3,2,0)))</f>
        <v>0</v>
      </c>
      <c r="DK48" s="215">
        <f>IF(CdTrp3!H76=1,1,IF(CdTrp3!H76=2,2,IF(CdTrp3!H76=3,2,0)))</f>
        <v>0</v>
      </c>
      <c r="DL48" s="215">
        <f>IF(CdTrp3!I76=1,1,IF(CdTrp3!I76=2,2,IF(CdTrp3!I76=3,2,0)))</f>
        <v>0</v>
      </c>
      <c r="DM48" s="215">
        <f>IF(CdTrp3!J76=1,1,IF(CdTrp3!J76=2,2,IF(CdTrp3!J76=3,2,0)))</f>
        <v>0</v>
      </c>
      <c r="DN48" s="215">
        <f>IF(CdTrp3!K76=1,1,IF(CdTrp3!K76=2,2,IF(CdTrp3!K76=3,2,0)))</f>
        <v>0</v>
      </c>
      <c r="DO48" s="215">
        <f>IF(CdTrp3!L76=1,1,IF(CdTrp3!L76=2,2,IF(CdTrp3!L76=3,2,0)))</f>
        <v>0</v>
      </c>
      <c r="DP48" s="215">
        <f>IF(CdTrp3!M76=1,1,IF(CdTrp3!M76=2,2,IF(CdTrp3!M76=3,2,0)))</f>
        <v>0</v>
      </c>
      <c r="DQ48" s="215">
        <f>IF(CdTrp3!N76=1,1,IF(CdTrp3!N76=2,2,IF(CdTrp3!N76=3,2,0)))</f>
        <v>0</v>
      </c>
      <c r="DR48" s="215">
        <f>IF(CdTrp3!O76=1,1,IF(CdTrp3!O76=2,2,IF(CdTrp3!O76=3,2,0)))</f>
        <v>0</v>
      </c>
      <c r="DS48" s="215">
        <f>IF(CdTrp3!P76=1,1,IF(CdTrp3!P76=2,2,IF(CdTrp3!P76=3,2,0)))</f>
        <v>0</v>
      </c>
      <c r="DT48" s="215">
        <f>IF(CdTrp3!Q76=1,1,IF(CdTrp3!Q76=2,2,IF(CdTrp3!Q76=3,2,0)))</f>
        <v>0</v>
      </c>
      <c r="DU48" s="215">
        <f>IF(CdTrp3!R76=1,1,IF(CdTrp3!R76=2,2,IF(CdTrp3!R76=3,2,0)))</f>
        <v>0</v>
      </c>
      <c r="DV48" s="215">
        <f>IF(CdTrp3!S76=1,1,IF(CdTrp3!S76=2,2,IF(CdTrp3!S76=3,2,0)))</f>
        <v>0</v>
      </c>
      <c r="DW48" s="215">
        <f>IF(CdTrp3!T76=1,1,IF(CdTrp3!T76=2,2,IF(CdTrp3!T76=3,2,0)))</f>
        <v>0</v>
      </c>
      <c r="DX48" s="215">
        <f>IF(CdTrp3!U76=1,1,IF(CdTrp3!U76=2,2,IF(CdTrp3!U76=3,2,0)))</f>
        <v>0</v>
      </c>
      <c r="DY48" s="215">
        <f>IF(CdTrp3!V76=1,1,IF(CdTrp3!V76=2,2,IF(CdTrp3!V76=3,2,0)))</f>
        <v>0</v>
      </c>
      <c r="DZ48" s="215">
        <f>IF(CdTrp3!W76=1,1,IF(CdTrp3!W76=2,2,IF(CdTrp3!W76=3,2,0)))</f>
        <v>0</v>
      </c>
      <c r="EA48" s="215">
        <f>IF(CdTrp3!X76=1,1,IF(CdTrp3!X76=2,2,IF(CdTrp3!X76=3,2,0)))</f>
        <v>0</v>
      </c>
      <c r="EB48" s="215">
        <f>IF(CdTrp3!Y76=1,1,IF(CdTrp3!Y76=2,2,IF(CdTrp3!Y76=3,2,0)))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1029</v>
      </c>
      <c r="X49" s="212" t="s">
        <v>502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8" t="str">
        <f>CdTrp1!A41</f>
        <v>Génisses renouvellement</v>
      </c>
      <c r="AH49" s="215">
        <f>CdTrp1!B41</f>
        <v>5.9069767441860463</v>
      </c>
      <c r="AI49" s="215">
        <f>CdTrp1!C41</f>
        <v>6.5581395348837201</v>
      </c>
      <c r="AJ49" s="215">
        <f>CdTrp1!D41</f>
        <v>7.8604651162790686</v>
      </c>
      <c r="AK49" s="215">
        <f>CdTrp1!E41</f>
        <v>8.8372093023255811</v>
      </c>
      <c r="AL49" s="215">
        <f>CdTrp1!F41</f>
        <v>8.8372093023255811</v>
      </c>
      <c r="AM49" s="215">
        <f>CdTrp1!G41</f>
        <v>8.8372093023255811</v>
      </c>
      <c r="AN49" s="215">
        <f>CdTrp1!H41</f>
        <v>8.8372093023255811</v>
      </c>
      <c r="AO49" s="215">
        <f>CdTrp1!I41</f>
        <v>8.8372093023255811</v>
      </c>
      <c r="AP49" s="215">
        <f>CdTrp1!J41</f>
        <v>8.8372093023255811</v>
      </c>
      <c r="AQ49" s="215">
        <f>CdTrp1!K41</f>
        <v>8.8372093023255811</v>
      </c>
      <c r="AR49" s="215">
        <f>CdTrp1!L41</f>
        <v>8.8372093023255811</v>
      </c>
      <c r="AS49" s="215">
        <f>CdTrp1!M41</f>
        <v>8.8372093023255811</v>
      </c>
      <c r="AT49" s="215">
        <f>CdTrp1!N41</f>
        <v>8.8372093023255811</v>
      </c>
      <c r="AU49" s="215">
        <f>CdTrp1!O41</f>
        <v>8.8372093023255811</v>
      </c>
      <c r="AV49" s="215">
        <f>IF(CdTrp1!B77=1,1,IF(CdTrp1!B77=2,2,IF(CdTrp1!B77=3,2,0)))</f>
        <v>0</v>
      </c>
      <c r="AW49" s="215">
        <f>IF(CdTrp1!C77=1,1,IF(CdTrp1!C77=2,2,IF(CdTrp1!C77=3,2,0)))</f>
        <v>0</v>
      </c>
      <c r="AX49" s="215">
        <f>IF(CdTrp1!D77=1,1,IF(CdTrp1!D77=2,2,IF(CdTrp1!D77=3,2,0)))</f>
        <v>0</v>
      </c>
      <c r="AY49" s="215">
        <f>IF(CdTrp1!E77=1,1,IF(CdTrp1!E77=2,2,IF(CdTrp1!E77=3,2,0)))</f>
        <v>0</v>
      </c>
      <c r="AZ49" s="215">
        <f>IF(CdTrp1!F77=1,1,IF(CdTrp1!F77=2,2,IF(CdTrp1!F77=3,2,0)))</f>
        <v>0</v>
      </c>
      <c r="BA49" s="215">
        <f>IF(CdTrp1!G77=1,1,IF(CdTrp1!G77=2,2,IF(CdTrp1!G77=3,2,0)))</f>
        <v>0</v>
      </c>
      <c r="BB49" s="215">
        <f>IF(CdTrp1!H77=1,1,IF(CdTrp1!H77=2,2,IF(CdTrp1!H77=3,2,0)))</f>
        <v>0</v>
      </c>
      <c r="BC49" s="215">
        <f>IF(CdTrp1!I77=1,1,IF(CdTrp1!I77=2,2,IF(CdTrp1!I77=3,2,0)))</f>
        <v>0</v>
      </c>
      <c r="BD49" s="215">
        <f>IF(CdTrp1!J77=1,1,IF(CdTrp1!J77=2,2,IF(CdTrp1!J77=3,2,0)))</f>
        <v>0</v>
      </c>
      <c r="BE49" s="215">
        <f>IF(CdTrp1!K77=1,1,IF(CdTrp1!K77=2,2,IF(CdTrp1!K77=3,2,0)))</f>
        <v>0</v>
      </c>
      <c r="BF49" s="215">
        <f>IF(CdTrp1!L77=1,1,IF(CdTrp1!L77=2,2,IF(CdTrp1!L77=3,2,0)))</f>
        <v>0</v>
      </c>
      <c r="BG49" s="215">
        <f>IF(CdTrp1!M77=1,1,IF(CdTrp1!M77=2,2,IF(CdTrp1!M77=3,2,0)))</f>
        <v>0</v>
      </c>
      <c r="BH49" s="215">
        <f>IF(CdTrp1!N77=1,1,IF(CdTrp1!N77=2,2,IF(CdTrp1!N77=3,2,0)))</f>
        <v>0</v>
      </c>
      <c r="BI49" s="215">
        <f>IF(CdTrp1!O77=1,1,IF(CdTrp1!O77=2,2,IF(CdTrp1!O77=3,2,0)))</f>
        <v>0</v>
      </c>
      <c r="BJ49" s="215">
        <f>IF(CdTrp1!P77=1,1,IF(CdTrp1!P77=2,2,IF(CdTrp1!P77=3,2,0)))</f>
        <v>0</v>
      </c>
      <c r="BK49" s="215">
        <f>IF(CdTrp1!Q77=1,1,IF(CdTrp1!Q77=2,2,IF(CdTrp1!Q77=3,2,0)))</f>
        <v>0</v>
      </c>
      <c r="BL49" s="215">
        <f>IF(CdTrp1!R77=1,1,IF(CdTrp1!R77=2,2,IF(CdTrp1!R77=3,2,0)))</f>
        <v>0</v>
      </c>
      <c r="BM49" s="215">
        <f>IF(CdTrp1!S77=1,1,IF(CdTrp1!S77=2,2,IF(CdTrp1!S77=3,2,0)))</f>
        <v>0</v>
      </c>
      <c r="BN49" s="215">
        <f>IF(CdTrp1!T77=1,1,IF(CdTrp1!T77=2,2,IF(CdTrp1!T77=3,2,0)))</f>
        <v>0</v>
      </c>
      <c r="BO49" s="215">
        <f>IF(CdTrp1!U77=1,1,IF(CdTrp1!U77=2,2,IF(CdTrp1!U77=3,2,0)))</f>
        <v>0</v>
      </c>
      <c r="BP49" s="215">
        <f>IF(CdTrp1!V77=1,1,IF(CdTrp1!V77=2,2,IF(CdTrp1!V77=3,2,0)))</f>
        <v>0</v>
      </c>
      <c r="BQ49" s="215">
        <f>IF(CdTrp1!W77=1,1,IF(CdTrp1!W77=2,2,IF(CdTrp1!W77=3,2,0)))</f>
        <v>0</v>
      </c>
      <c r="BR49" s="215">
        <f>IF(CdTrp1!X77=1,1,IF(CdTrp1!X77=2,2,IF(CdTrp1!X77=3,2,0)))</f>
        <v>0</v>
      </c>
      <c r="BS49" s="215">
        <f>IF(CdTrp1!Y77=1,1,IF(CdTrp1!Y77=2,2,IF(CdTrp1!Y77=3,2,0)))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IF(CdTrp2!B77=1,1,IF(CdTrp2!B77=2,2,IF(CdTrp2!B77=3,2,0)))</f>
        <v>0</v>
      </c>
      <c r="CC49" s="211">
        <f>IF(CdTrp2!C77=1,1,IF(CdTrp2!C77=2,2,IF(CdTrp2!C77=3,2,0)))</f>
        <v>0</v>
      </c>
      <c r="CD49" s="211">
        <f>IF(CdTrp2!D77=1,1,IF(CdTrp2!D77=2,2,IF(CdTrp2!D77=3,2,0)))</f>
        <v>0</v>
      </c>
      <c r="CE49" s="211">
        <f>IF(CdTrp2!E77=1,1,IF(CdTrp2!E77=2,2,IF(CdTrp2!E77=3,2,0)))</f>
        <v>0</v>
      </c>
      <c r="CF49" s="211">
        <f>IF(CdTrp2!F77=1,1,IF(CdTrp2!F77=2,2,IF(CdTrp2!F77=3,2,0)))</f>
        <v>0</v>
      </c>
      <c r="CG49" s="211">
        <f>IF(CdTrp2!G77=1,1,IF(CdTrp2!G77=2,2,IF(CdTrp2!G77=3,2,0)))</f>
        <v>0</v>
      </c>
      <c r="CH49" s="211">
        <f>IF(CdTrp2!H77=1,1,IF(CdTrp2!H77=2,2,IF(CdTrp2!H77=3,2,0)))</f>
        <v>0</v>
      </c>
      <c r="CI49" s="211">
        <f>IF(CdTrp2!I77=1,1,IF(CdTrp2!I77=2,2,IF(CdTrp2!I77=3,2,0)))</f>
        <v>0</v>
      </c>
      <c r="CJ49" s="211">
        <f>IF(CdTrp2!J77=1,1,IF(CdTrp2!J77=2,2,IF(CdTrp2!J77=3,2,0)))</f>
        <v>0</v>
      </c>
      <c r="CK49" s="211">
        <f>IF(CdTrp2!K77=1,1,IF(CdTrp2!K77=2,2,IF(CdTrp2!K77=3,2,0)))</f>
        <v>0</v>
      </c>
      <c r="CL49" s="211">
        <f>IF(CdTrp2!L77=1,1,IF(CdTrp2!L77=2,2,IF(CdTrp2!L77=3,2,0)))</f>
        <v>0</v>
      </c>
      <c r="CM49" s="211">
        <f>IF(CdTrp2!M77=1,1,IF(CdTrp2!M77=2,2,IF(CdTrp2!M77=3,2,0)))</f>
        <v>0</v>
      </c>
      <c r="CN49" s="211">
        <f>IF(CdTrp2!N77=1,1,IF(CdTrp2!N77=2,2,IF(CdTrp2!N77=3,2,0)))</f>
        <v>0</v>
      </c>
      <c r="CO49" s="211">
        <f>IF(CdTrp2!O77=1,1,IF(CdTrp2!O77=2,2,IF(CdTrp2!O77=3,2,0)))</f>
        <v>0</v>
      </c>
      <c r="CP49" s="211">
        <f>IF(CdTrp2!P77=1,1,IF(CdTrp2!P77=2,2,IF(CdTrp2!P77=3,2,0)))</f>
        <v>0</v>
      </c>
      <c r="CQ49" s="211">
        <f>IF(CdTrp2!Q77=1,1,IF(CdTrp2!Q77=2,2,IF(CdTrp2!Q77=3,2,0)))</f>
        <v>0</v>
      </c>
      <c r="CR49" s="211">
        <f>IF(CdTrp2!R77=1,1,IF(CdTrp2!R77=2,2,IF(CdTrp2!R77=3,2,0)))</f>
        <v>0</v>
      </c>
      <c r="CS49" s="211">
        <f>IF(CdTrp2!S77=1,1,IF(CdTrp2!S77=2,2,IF(CdTrp2!S77=3,2,0)))</f>
        <v>0</v>
      </c>
      <c r="CT49" s="211">
        <f>IF(CdTrp2!T77=1,1,IF(CdTrp2!T77=2,2,IF(CdTrp2!T77=3,2,0)))</f>
        <v>0</v>
      </c>
      <c r="CU49" s="211">
        <f>IF(CdTrp2!U77=1,1,IF(CdTrp2!U77=2,2,IF(CdTrp2!U77=3,2,0)))</f>
        <v>0</v>
      </c>
      <c r="CV49" s="211">
        <f>IF(CdTrp2!V77=1,1,IF(CdTrp2!V77=2,2,IF(CdTrp2!V77=3,2,0)))</f>
        <v>0</v>
      </c>
      <c r="CW49" s="211">
        <f>IF(CdTrp2!W77=1,1,IF(CdTrp2!W77=2,2,IF(CdTrp2!W77=3,2,0)))</f>
        <v>0</v>
      </c>
      <c r="CX49" s="211">
        <f>IF(CdTrp2!X77=1,1,IF(CdTrp2!X77=2,2,IF(CdTrp2!X77=3,2,0)))</f>
        <v>0</v>
      </c>
      <c r="CY49" s="211">
        <f>IF(CdTrp2!Y77=1,1,IF(CdTrp2!Y77=2,2,IF(CdTrp2!Y77=3,2,0)))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IF(CdTrp3!B77=1,1,IF(CdTrp3!B77=2,2,IF(CdTrp3!B77=3,2,0)))</f>
        <v>0</v>
      </c>
      <c r="DF49" s="215">
        <f>IF(CdTrp3!C77=1,1,IF(CdTrp3!C77=2,2,IF(CdTrp3!C77=3,2,0)))</f>
        <v>0</v>
      </c>
      <c r="DG49" s="215">
        <f>IF(CdTrp3!D77=1,1,IF(CdTrp3!D77=2,2,IF(CdTrp3!D77=3,2,0)))</f>
        <v>0</v>
      </c>
      <c r="DH49" s="215">
        <f>IF(CdTrp3!E77=1,1,IF(CdTrp3!E77=2,2,IF(CdTrp3!E77=3,2,0)))</f>
        <v>0</v>
      </c>
      <c r="DI49" s="215">
        <f>IF(CdTrp3!F77=1,1,IF(CdTrp3!F77=2,2,IF(CdTrp3!F77=3,2,0)))</f>
        <v>0</v>
      </c>
      <c r="DJ49" s="215">
        <f>IF(CdTrp3!G77=1,1,IF(CdTrp3!G77=2,2,IF(CdTrp3!G77=3,2,0)))</f>
        <v>0</v>
      </c>
      <c r="DK49" s="215">
        <f>IF(CdTrp3!H77=1,1,IF(CdTrp3!H77=2,2,IF(CdTrp3!H77=3,2,0)))</f>
        <v>0</v>
      </c>
      <c r="DL49" s="215">
        <f>IF(CdTrp3!I77=1,1,IF(CdTrp3!I77=2,2,IF(CdTrp3!I77=3,2,0)))</f>
        <v>0</v>
      </c>
      <c r="DM49" s="215">
        <f>IF(CdTrp3!J77=1,1,IF(CdTrp3!J77=2,2,IF(CdTrp3!J77=3,2,0)))</f>
        <v>0</v>
      </c>
      <c r="DN49" s="215">
        <f>IF(CdTrp3!K77=1,1,IF(CdTrp3!K77=2,2,IF(CdTrp3!K77=3,2,0)))</f>
        <v>0</v>
      </c>
      <c r="DO49" s="215">
        <f>IF(CdTrp3!L77=1,1,IF(CdTrp3!L77=2,2,IF(CdTrp3!L77=3,2,0)))</f>
        <v>0</v>
      </c>
      <c r="DP49" s="215">
        <f>IF(CdTrp3!M77=1,1,IF(CdTrp3!M77=2,2,IF(CdTrp3!M77=3,2,0)))</f>
        <v>0</v>
      </c>
      <c r="DQ49" s="215">
        <f>IF(CdTrp3!N77=1,1,IF(CdTrp3!N77=2,2,IF(CdTrp3!N77=3,2,0)))</f>
        <v>0</v>
      </c>
      <c r="DR49" s="215">
        <f>IF(CdTrp3!O77=1,1,IF(CdTrp3!O77=2,2,IF(CdTrp3!O77=3,2,0)))</f>
        <v>0</v>
      </c>
      <c r="DS49" s="215">
        <f>IF(CdTrp3!P77=1,1,IF(CdTrp3!P77=2,2,IF(CdTrp3!P77=3,2,0)))</f>
        <v>0</v>
      </c>
      <c r="DT49" s="215">
        <f>IF(CdTrp3!Q77=1,1,IF(CdTrp3!Q77=2,2,IF(CdTrp3!Q77=3,2,0)))</f>
        <v>0</v>
      </c>
      <c r="DU49" s="215">
        <f>IF(CdTrp3!R77=1,1,IF(CdTrp3!R77=2,2,IF(CdTrp3!R77=3,2,0)))</f>
        <v>0</v>
      </c>
      <c r="DV49" s="215">
        <f>IF(CdTrp3!S77=1,1,IF(CdTrp3!S77=2,2,IF(CdTrp3!S77=3,2,0)))</f>
        <v>0</v>
      </c>
      <c r="DW49" s="215">
        <f>IF(CdTrp3!T77=1,1,IF(CdTrp3!T77=2,2,IF(CdTrp3!T77=3,2,0)))</f>
        <v>0</v>
      </c>
      <c r="DX49" s="215">
        <f>IF(CdTrp3!U77=1,1,IF(CdTrp3!U77=2,2,IF(CdTrp3!U77=3,2,0)))</f>
        <v>0</v>
      </c>
      <c r="DY49" s="215">
        <f>IF(CdTrp3!V77=1,1,IF(CdTrp3!V77=2,2,IF(CdTrp3!V77=3,2,0)))</f>
        <v>0</v>
      </c>
      <c r="DZ49" s="215">
        <f>IF(CdTrp3!W77=1,1,IF(CdTrp3!W77=2,2,IF(CdTrp3!W77=3,2,0)))</f>
        <v>0</v>
      </c>
      <c r="EA49" s="215">
        <f>IF(CdTrp3!X77=1,1,IF(CdTrp3!X77=2,2,IF(CdTrp3!X77=3,2,0)))</f>
        <v>0</v>
      </c>
      <c r="EB49" s="215">
        <f>IF(CdTrp3!Y77=1,1,IF(CdTrp3!Y77=2,2,IF(CdTrp3!Y77=3,2,0)))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567</v>
      </c>
      <c r="R50" t="str">
        <f>Troupeau!B3</f>
        <v>BV</v>
      </c>
      <c r="S50" s="30">
        <f>Scénario!K54*Scénario!K55+Scénario!K76*Scénario!K77</f>
        <v>0</v>
      </c>
      <c r="X50" s="212" t="s">
        <v>986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génisses 2/3 ans</v>
      </c>
      <c r="AH50" s="215">
        <f>CdTrp1!B42</f>
        <v>7.4418604651162799</v>
      </c>
      <c r="AI50" s="215">
        <f>CdTrp1!C42</f>
        <v>7.4418604651162799</v>
      </c>
      <c r="AJ50" s="215">
        <f>CdTrp1!D42</f>
        <v>7.4418604651162799</v>
      </c>
      <c r="AK50" s="215">
        <f>CdTrp1!E42</f>
        <v>7.4418604651162799</v>
      </c>
      <c r="AL50" s="215">
        <f>CdTrp1!F42</f>
        <v>7.4418604651162799</v>
      </c>
      <c r="AM50" s="215">
        <f>CdTrp1!G42</f>
        <v>7.4418604651162799</v>
      </c>
      <c r="AN50" s="215">
        <f>CdTrp1!H42</f>
        <v>7.4418604651162799</v>
      </c>
      <c r="AO50" s="215">
        <f>CdTrp1!I42</f>
        <v>7.4418604651162799</v>
      </c>
      <c r="AP50" s="215">
        <f>CdTrp1!J42</f>
        <v>7.4418604651162799</v>
      </c>
      <c r="AQ50" s="215">
        <f>CdTrp1!K42</f>
        <v>7.4418604651162799</v>
      </c>
      <c r="AR50" s="215">
        <f>CdTrp1!L42</f>
        <v>7.4418604651162799</v>
      </c>
      <c r="AS50" s="215">
        <f>CdTrp1!M42</f>
        <v>7.4418604651162799</v>
      </c>
      <c r="AT50" s="215">
        <f>CdTrp1!N42</f>
        <v>7.4418604651162799</v>
      </c>
      <c r="AU50" s="215">
        <f>CdTrp1!O42</f>
        <v>7.4418604651162799</v>
      </c>
      <c r="AV50" s="215">
        <f>IF(CdTrp1!B78=1,1,IF(CdTrp1!B78=2,2,IF(CdTrp1!B78=3,2,0)))</f>
        <v>0</v>
      </c>
      <c r="AW50" s="215">
        <f>IF(CdTrp1!C78=1,1,IF(CdTrp1!C78=2,2,IF(CdTrp1!C78=3,2,0)))</f>
        <v>0</v>
      </c>
      <c r="AX50" s="215">
        <f>IF(CdTrp1!D78=1,1,IF(CdTrp1!D78=2,2,IF(CdTrp1!D78=3,2,0)))</f>
        <v>0</v>
      </c>
      <c r="AY50" s="215">
        <f>IF(CdTrp1!E78=1,1,IF(CdTrp1!E78=2,2,IF(CdTrp1!E78=3,2,0)))</f>
        <v>0</v>
      </c>
      <c r="AZ50" s="215">
        <f>IF(CdTrp1!F78=1,1,IF(CdTrp1!F78=2,2,IF(CdTrp1!F78=3,2,0)))</f>
        <v>0</v>
      </c>
      <c r="BA50" s="215">
        <f>IF(CdTrp1!G78=1,1,IF(CdTrp1!G78=2,2,IF(CdTrp1!G78=3,2,0)))</f>
        <v>0</v>
      </c>
      <c r="BB50" s="215">
        <f>IF(CdTrp1!H78=1,1,IF(CdTrp1!H78=2,2,IF(CdTrp1!H78=3,2,0)))</f>
        <v>0</v>
      </c>
      <c r="BC50" s="215">
        <f>IF(CdTrp1!I78=1,1,IF(CdTrp1!I78=2,2,IF(CdTrp1!I78=3,2,0)))</f>
        <v>0</v>
      </c>
      <c r="BD50" s="215">
        <f>IF(CdTrp1!J78=1,1,IF(CdTrp1!J78=2,2,IF(CdTrp1!J78=3,2,0)))</f>
        <v>0</v>
      </c>
      <c r="BE50" s="215">
        <f>IF(CdTrp1!K78=1,1,IF(CdTrp1!K78=2,2,IF(CdTrp1!K78=3,2,0)))</f>
        <v>0</v>
      </c>
      <c r="BF50" s="215">
        <f>IF(CdTrp1!L78=1,1,IF(CdTrp1!L78=2,2,IF(CdTrp1!L78=3,2,0)))</f>
        <v>0</v>
      </c>
      <c r="BG50" s="215">
        <f>IF(CdTrp1!M78=1,1,IF(CdTrp1!M78=2,2,IF(CdTrp1!M78=3,2,0)))</f>
        <v>0</v>
      </c>
      <c r="BH50" s="215">
        <f>IF(CdTrp1!N78=1,1,IF(CdTrp1!N78=2,2,IF(CdTrp1!N78=3,2,0)))</f>
        <v>0</v>
      </c>
      <c r="BI50" s="215">
        <f>IF(CdTrp1!O78=1,1,IF(CdTrp1!O78=2,2,IF(CdTrp1!O78=3,2,0)))</f>
        <v>0</v>
      </c>
      <c r="BJ50" s="215">
        <f>IF(CdTrp1!P78=1,1,IF(CdTrp1!P78=2,2,IF(CdTrp1!P78=3,2,0)))</f>
        <v>0</v>
      </c>
      <c r="BK50" s="215">
        <f>IF(CdTrp1!Q78=1,1,IF(CdTrp1!Q78=2,2,IF(CdTrp1!Q78=3,2,0)))</f>
        <v>0</v>
      </c>
      <c r="BL50" s="215">
        <f>IF(CdTrp1!R78=1,1,IF(CdTrp1!R78=2,2,IF(CdTrp1!R78=3,2,0)))</f>
        <v>0</v>
      </c>
      <c r="BM50" s="215">
        <f>IF(CdTrp1!S78=1,1,IF(CdTrp1!S78=2,2,IF(CdTrp1!S78=3,2,0)))</f>
        <v>0</v>
      </c>
      <c r="BN50" s="215">
        <f>IF(CdTrp1!T78=1,1,IF(CdTrp1!T78=2,2,IF(CdTrp1!T78=3,2,0)))</f>
        <v>0</v>
      </c>
      <c r="BO50" s="215">
        <f>IF(CdTrp1!U78=1,1,IF(CdTrp1!U78=2,2,IF(CdTrp1!U78=3,2,0)))</f>
        <v>0</v>
      </c>
      <c r="BP50" s="215">
        <f>IF(CdTrp1!V78=1,1,IF(CdTrp1!V78=2,2,IF(CdTrp1!V78=3,2,0)))</f>
        <v>0</v>
      </c>
      <c r="BQ50" s="215">
        <f>IF(CdTrp1!W78=1,1,IF(CdTrp1!W78=2,2,IF(CdTrp1!W78=3,2,0)))</f>
        <v>0</v>
      </c>
      <c r="BR50" s="215">
        <f>IF(CdTrp1!X78=1,1,IF(CdTrp1!X78=2,2,IF(CdTrp1!X78=3,2,0)))</f>
        <v>0</v>
      </c>
      <c r="BS50" s="215">
        <f>IF(CdTrp1!Y78=1,1,IF(CdTrp1!Y78=2,2,IF(CdTrp1!Y78=3,2,0)))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IF(CdTrp2!B78=1,1,IF(CdTrp2!B78=2,2,IF(CdTrp2!B78=3,2,0)))</f>
        <v>0</v>
      </c>
      <c r="CC50" s="211">
        <f>IF(CdTrp2!C78=1,1,IF(CdTrp2!C78=2,2,IF(CdTrp2!C78=3,2,0)))</f>
        <v>0</v>
      </c>
      <c r="CD50" s="211">
        <f>IF(CdTrp2!D78=1,1,IF(CdTrp2!D78=2,2,IF(CdTrp2!D78=3,2,0)))</f>
        <v>0</v>
      </c>
      <c r="CE50" s="211">
        <f>IF(CdTrp2!E78=1,1,IF(CdTrp2!E78=2,2,IF(CdTrp2!E78=3,2,0)))</f>
        <v>0</v>
      </c>
      <c r="CF50" s="211">
        <f>IF(CdTrp2!F78=1,1,IF(CdTrp2!F78=2,2,IF(CdTrp2!F78=3,2,0)))</f>
        <v>0</v>
      </c>
      <c r="CG50" s="211">
        <f>IF(CdTrp2!G78=1,1,IF(CdTrp2!G78=2,2,IF(CdTrp2!G78=3,2,0)))</f>
        <v>0</v>
      </c>
      <c r="CH50" s="211">
        <f>IF(CdTrp2!H78=1,1,IF(CdTrp2!H78=2,2,IF(CdTrp2!H78=3,2,0)))</f>
        <v>0</v>
      </c>
      <c r="CI50" s="211">
        <f>IF(CdTrp2!I78=1,1,IF(CdTrp2!I78=2,2,IF(CdTrp2!I78=3,2,0)))</f>
        <v>0</v>
      </c>
      <c r="CJ50" s="211">
        <f>IF(CdTrp2!J78=1,1,IF(CdTrp2!J78=2,2,IF(CdTrp2!J78=3,2,0)))</f>
        <v>0</v>
      </c>
      <c r="CK50" s="211">
        <f>IF(CdTrp2!K78=1,1,IF(CdTrp2!K78=2,2,IF(CdTrp2!K78=3,2,0)))</f>
        <v>0</v>
      </c>
      <c r="CL50" s="211">
        <f>IF(CdTrp2!L78=1,1,IF(CdTrp2!L78=2,2,IF(CdTrp2!L78=3,2,0)))</f>
        <v>0</v>
      </c>
      <c r="CM50" s="211">
        <f>IF(CdTrp2!M78=1,1,IF(CdTrp2!M78=2,2,IF(CdTrp2!M78=3,2,0)))</f>
        <v>0</v>
      </c>
      <c r="CN50" s="211">
        <f>IF(CdTrp2!N78=1,1,IF(CdTrp2!N78=2,2,IF(CdTrp2!N78=3,2,0)))</f>
        <v>0</v>
      </c>
      <c r="CO50" s="211">
        <f>IF(CdTrp2!O78=1,1,IF(CdTrp2!O78=2,2,IF(CdTrp2!O78=3,2,0)))</f>
        <v>0</v>
      </c>
      <c r="CP50" s="211">
        <f>IF(CdTrp2!P78=1,1,IF(CdTrp2!P78=2,2,IF(CdTrp2!P78=3,2,0)))</f>
        <v>0</v>
      </c>
      <c r="CQ50" s="211">
        <f>IF(CdTrp2!Q78=1,1,IF(CdTrp2!Q78=2,2,IF(CdTrp2!Q78=3,2,0)))</f>
        <v>0</v>
      </c>
      <c r="CR50" s="211">
        <f>IF(CdTrp2!R78=1,1,IF(CdTrp2!R78=2,2,IF(CdTrp2!R78=3,2,0)))</f>
        <v>0</v>
      </c>
      <c r="CS50" s="211">
        <f>IF(CdTrp2!S78=1,1,IF(CdTrp2!S78=2,2,IF(CdTrp2!S78=3,2,0)))</f>
        <v>0</v>
      </c>
      <c r="CT50" s="211">
        <f>IF(CdTrp2!T78=1,1,IF(CdTrp2!T78=2,2,IF(CdTrp2!T78=3,2,0)))</f>
        <v>0</v>
      </c>
      <c r="CU50" s="211">
        <f>IF(CdTrp2!U78=1,1,IF(CdTrp2!U78=2,2,IF(CdTrp2!U78=3,2,0)))</f>
        <v>0</v>
      </c>
      <c r="CV50" s="211">
        <f>IF(CdTrp2!V78=1,1,IF(CdTrp2!V78=2,2,IF(CdTrp2!V78=3,2,0)))</f>
        <v>0</v>
      </c>
      <c r="CW50" s="211">
        <f>IF(CdTrp2!W78=1,1,IF(CdTrp2!W78=2,2,IF(CdTrp2!W78=3,2,0)))</f>
        <v>0</v>
      </c>
      <c r="CX50" s="211">
        <f>IF(CdTrp2!X78=1,1,IF(CdTrp2!X78=2,2,IF(CdTrp2!X78=3,2,0)))</f>
        <v>0</v>
      </c>
      <c r="CY50" s="211">
        <f>IF(CdTrp2!Y78=1,1,IF(CdTrp2!Y78=2,2,IF(CdTrp2!Y78=3,2,0)))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IF(CdTrp3!B78=1,1,IF(CdTrp3!B78=2,2,IF(CdTrp3!B78=3,2,0)))</f>
        <v>0</v>
      </c>
      <c r="DF50" s="215">
        <f>IF(CdTrp3!C78=1,1,IF(CdTrp3!C78=2,2,IF(CdTrp3!C78=3,2,0)))</f>
        <v>0</v>
      </c>
      <c r="DG50" s="215">
        <f>IF(CdTrp3!D78=1,1,IF(CdTrp3!D78=2,2,IF(CdTrp3!D78=3,2,0)))</f>
        <v>0</v>
      </c>
      <c r="DH50" s="215">
        <f>IF(CdTrp3!E78=1,1,IF(CdTrp3!E78=2,2,IF(CdTrp3!E78=3,2,0)))</f>
        <v>0</v>
      </c>
      <c r="DI50" s="215">
        <f>IF(CdTrp3!F78=1,1,IF(CdTrp3!F78=2,2,IF(CdTrp3!F78=3,2,0)))</f>
        <v>0</v>
      </c>
      <c r="DJ50" s="215">
        <f>IF(CdTrp3!G78=1,1,IF(CdTrp3!G78=2,2,IF(CdTrp3!G78=3,2,0)))</f>
        <v>0</v>
      </c>
      <c r="DK50" s="215">
        <f>IF(CdTrp3!H78=1,1,IF(CdTrp3!H78=2,2,IF(CdTrp3!H78=3,2,0)))</f>
        <v>0</v>
      </c>
      <c r="DL50" s="215">
        <f>IF(CdTrp3!I78=1,1,IF(CdTrp3!I78=2,2,IF(CdTrp3!I78=3,2,0)))</f>
        <v>0</v>
      </c>
      <c r="DM50" s="215">
        <f>IF(CdTrp3!J78=1,1,IF(CdTrp3!J78=2,2,IF(CdTrp3!J78=3,2,0)))</f>
        <v>0</v>
      </c>
      <c r="DN50" s="215">
        <f>IF(CdTrp3!K78=1,1,IF(CdTrp3!K78=2,2,IF(CdTrp3!K78=3,2,0)))</f>
        <v>0</v>
      </c>
      <c r="DO50" s="215">
        <f>IF(CdTrp3!L78=1,1,IF(CdTrp3!L78=2,2,IF(CdTrp3!L78=3,2,0)))</f>
        <v>0</v>
      </c>
      <c r="DP50" s="215">
        <f>IF(CdTrp3!M78=1,1,IF(CdTrp3!M78=2,2,IF(CdTrp3!M78=3,2,0)))</f>
        <v>0</v>
      </c>
      <c r="DQ50" s="215">
        <f>IF(CdTrp3!N78=1,1,IF(CdTrp3!N78=2,2,IF(CdTrp3!N78=3,2,0)))</f>
        <v>0</v>
      </c>
      <c r="DR50" s="215">
        <f>IF(CdTrp3!O78=1,1,IF(CdTrp3!O78=2,2,IF(CdTrp3!O78=3,2,0)))</f>
        <v>0</v>
      </c>
      <c r="DS50" s="215">
        <f>IF(CdTrp3!P78=1,1,IF(CdTrp3!P78=2,2,IF(CdTrp3!P78=3,2,0)))</f>
        <v>0</v>
      </c>
      <c r="DT50" s="215">
        <f>IF(CdTrp3!Q78=1,1,IF(CdTrp3!Q78=2,2,IF(CdTrp3!Q78=3,2,0)))</f>
        <v>0</v>
      </c>
      <c r="DU50" s="215">
        <f>IF(CdTrp3!R78=1,1,IF(CdTrp3!R78=2,2,IF(CdTrp3!R78=3,2,0)))</f>
        <v>0</v>
      </c>
      <c r="DV50" s="215">
        <f>IF(CdTrp3!S78=1,1,IF(CdTrp3!S78=2,2,IF(CdTrp3!S78=3,2,0)))</f>
        <v>0</v>
      </c>
      <c r="DW50" s="215">
        <f>IF(CdTrp3!T78=1,1,IF(CdTrp3!T78=2,2,IF(CdTrp3!T78=3,2,0)))</f>
        <v>0</v>
      </c>
      <c r="DX50" s="215">
        <f>IF(CdTrp3!U78=1,1,IF(CdTrp3!U78=2,2,IF(CdTrp3!U78=3,2,0)))</f>
        <v>0</v>
      </c>
      <c r="DY50" s="215">
        <f>IF(CdTrp3!V78=1,1,IF(CdTrp3!V78=2,2,IF(CdTrp3!V78=3,2,0)))</f>
        <v>0</v>
      </c>
      <c r="DZ50" s="215">
        <f>IF(CdTrp3!W78=1,1,IF(CdTrp3!W78=2,2,IF(CdTrp3!W78=3,2,0)))</f>
        <v>0</v>
      </c>
      <c r="EA50" s="215">
        <f>IF(CdTrp3!X78=1,1,IF(CdTrp3!X78=2,2,IF(CdTrp3!X78=3,2,0)))</f>
        <v>0</v>
      </c>
      <c r="EB50" s="215">
        <f>IF(CdTrp3!Y78=1,1,IF(CdTrp3!Y78=2,2,IF(CdTrp3!Y78=3,2,0)))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581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988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8" t="str">
        <f>CdTrp1!A43</f>
        <v>tardive</v>
      </c>
      <c r="AH51" s="215">
        <f>CdTrp1!B43</f>
        <v>2.3720930232558142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15">
        <f>IF(CdTrp1!B79=1,1,IF(CdTrp1!B79=2,2,IF(CdTrp1!B79=3,2,0)))</f>
        <v>0</v>
      </c>
      <c r="AW51" s="215">
        <f>IF(CdTrp1!C79=1,1,IF(CdTrp1!C79=2,2,IF(CdTrp1!C79=3,2,0)))</f>
        <v>0</v>
      </c>
      <c r="AX51" s="215">
        <f>IF(CdTrp1!D79=1,1,IF(CdTrp1!D79=2,2,IF(CdTrp1!D79=3,2,0)))</f>
        <v>0</v>
      </c>
      <c r="AY51" s="215">
        <f>IF(CdTrp1!E79=1,1,IF(CdTrp1!E79=2,2,IF(CdTrp1!E79=3,2,0)))</f>
        <v>0</v>
      </c>
      <c r="AZ51" s="215">
        <f>IF(CdTrp1!F79=1,1,IF(CdTrp1!F79=2,2,IF(CdTrp1!F79=3,2,0)))</f>
        <v>0</v>
      </c>
      <c r="BA51" s="215">
        <f>IF(CdTrp1!G79=1,1,IF(CdTrp1!G79=2,2,IF(CdTrp1!G79=3,2,0)))</f>
        <v>0</v>
      </c>
      <c r="BB51" s="215">
        <f>IF(CdTrp1!H79=1,1,IF(CdTrp1!H79=2,2,IF(CdTrp1!H79=3,2,0)))</f>
        <v>0</v>
      </c>
      <c r="BC51" s="215">
        <f>IF(CdTrp1!I79=1,1,IF(CdTrp1!I79=2,2,IF(CdTrp1!I79=3,2,0)))</f>
        <v>0</v>
      </c>
      <c r="BD51" s="215">
        <f>IF(CdTrp1!J79=1,1,IF(CdTrp1!J79=2,2,IF(CdTrp1!J79=3,2,0)))</f>
        <v>0</v>
      </c>
      <c r="BE51" s="215">
        <f>IF(CdTrp1!K79=1,1,IF(CdTrp1!K79=2,2,IF(CdTrp1!K79=3,2,0)))</f>
        <v>0</v>
      </c>
      <c r="BF51" s="215">
        <f>IF(CdTrp1!L79=1,1,IF(CdTrp1!L79=2,2,IF(CdTrp1!L79=3,2,0)))</f>
        <v>0</v>
      </c>
      <c r="BG51" s="215">
        <f>IF(CdTrp1!M79=1,1,IF(CdTrp1!M79=2,2,IF(CdTrp1!M79=3,2,0)))</f>
        <v>0</v>
      </c>
      <c r="BH51" s="215">
        <f>IF(CdTrp1!N79=1,1,IF(CdTrp1!N79=2,2,IF(CdTrp1!N79=3,2,0)))</f>
        <v>0</v>
      </c>
      <c r="BI51" s="215">
        <f>IF(CdTrp1!O79=1,1,IF(CdTrp1!O79=2,2,IF(CdTrp1!O79=3,2,0)))</f>
        <v>0</v>
      </c>
      <c r="BJ51" s="215">
        <f>IF(CdTrp1!P79=1,1,IF(CdTrp1!P79=2,2,IF(CdTrp1!P79=3,2,0)))</f>
        <v>0</v>
      </c>
      <c r="BK51" s="215">
        <f>IF(CdTrp1!Q79=1,1,IF(CdTrp1!Q79=2,2,IF(CdTrp1!Q79=3,2,0)))</f>
        <v>0</v>
      </c>
      <c r="BL51" s="215">
        <f>IF(CdTrp1!R79=1,1,IF(CdTrp1!R79=2,2,IF(CdTrp1!R79=3,2,0)))</f>
        <v>0</v>
      </c>
      <c r="BM51" s="215">
        <f>IF(CdTrp1!S79=1,1,IF(CdTrp1!S79=2,2,IF(CdTrp1!S79=3,2,0)))</f>
        <v>0</v>
      </c>
      <c r="BN51" s="215">
        <f>IF(CdTrp1!T79=1,1,IF(CdTrp1!T79=2,2,IF(CdTrp1!T79=3,2,0)))</f>
        <v>0</v>
      </c>
      <c r="BO51" s="215">
        <f>IF(CdTrp1!U79=1,1,IF(CdTrp1!U79=2,2,IF(CdTrp1!U79=3,2,0)))</f>
        <v>0</v>
      </c>
      <c r="BP51" s="215">
        <f>IF(CdTrp1!V79=1,1,IF(CdTrp1!V79=2,2,IF(CdTrp1!V79=3,2,0)))</f>
        <v>0</v>
      </c>
      <c r="BQ51" s="215">
        <f>IF(CdTrp1!W79=1,1,IF(CdTrp1!W79=2,2,IF(CdTrp1!W79=3,2,0)))</f>
        <v>0</v>
      </c>
      <c r="BR51" s="215">
        <f>IF(CdTrp1!X79=1,1,IF(CdTrp1!X79=2,2,IF(CdTrp1!X79=3,2,0)))</f>
        <v>0</v>
      </c>
      <c r="BS51" s="215">
        <f>IF(CdTrp1!Y79=1,1,IF(CdTrp1!Y79=2,2,IF(CdTrp1!Y79=3,2,0)))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IF(CdTrp2!B79=1,1,IF(CdTrp2!B79=2,2,IF(CdTrp2!B79=3,2,0)))</f>
        <v>0</v>
      </c>
      <c r="CC51" s="211">
        <f>IF(CdTrp2!C79=1,1,IF(CdTrp2!C79=2,2,IF(CdTrp2!C79=3,2,0)))</f>
        <v>0</v>
      </c>
      <c r="CD51" s="211">
        <f>IF(CdTrp2!D79=1,1,IF(CdTrp2!D79=2,2,IF(CdTrp2!D79=3,2,0)))</f>
        <v>0</v>
      </c>
      <c r="CE51" s="211">
        <f>IF(CdTrp2!E79=1,1,IF(CdTrp2!E79=2,2,IF(CdTrp2!E79=3,2,0)))</f>
        <v>0</v>
      </c>
      <c r="CF51" s="211">
        <f>IF(CdTrp2!F79=1,1,IF(CdTrp2!F79=2,2,IF(CdTrp2!F79=3,2,0)))</f>
        <v>0</v>
      </c>
      <c r="CG51" s="211">
        <f>IF(CdTrp2!G79=1,1,IF(CdTrp2!G79=2,2,IF(CdTrp2!G79=3,2,0)))</f>
        <v>0</v>
      </c>
      <c r="CH51" s="211">
        <f>IF(CdTrp2!H79=1,1,IF(CdTrp2!H79=2,2,IF(CdTrp2!H79=3,2,0)))</f>
        <v>0</v>
      </c>
      <c r="CI51" s="211">
        <f>IF(CdTrp2!I79=1,1,IF(CdTrp2!I79=2,2,IF(CdTrp2!I79=3,2,0)))</f>
        <v>0</v>
      </c>
      <c r="CJ51" s="211">
        <f>IF(CdTrp2!J79=1,1,IF(CdTrp2!J79=2,2,IF(CdTrp2!J79=3,2,0)))</f>
        <v>0</v>
      </c>
      <c r="CK51" s="211">
        <f>IF(CdTrp2!K79=1,1,IF(CdTrp2!K79=2,2,IF(CdTrp2!K79=3,2,0)))</f>
        <v>0</v>
      </c>
      <c r="CL51" s="211">
        <f>IF(CdTrp2!L79=1,1,IF(CdTrp2!L79=2,2,IF(CdTrp2!L79=3,2,0)))</f>
        <v>0</v>
      </c>
      <c r="CM51" s="211">
        <f>IF(CdTrp2!M79=1,1,IF(CdTrp2!M79=2,2,IF(CdTrp2!M79=3,2,0)))</f>
        <v>0</v>
      </c>
      <c r="CN51" s="211">
        <f>IF(CdTrp2!N79=1,1,IF(CdTrp2!N79=2,2,IF(CdTrp2!N79=3,2,0)))</f>
        <v>0</v>
      </c>
      <c r="CO51" s="211">
        <f>IF(CdTrp2!O79=1,1,IF(CdTrp2!O79=2,2,IF(CdTrp2!O79=3,2,0)))</f>
        <v>0</v>
      </c>
      <c r="CP51" s="211">
        <f>IF(CdTrp2!P79=1,1,IF(CdTrp2!P79=2,2,IF(CdTrp2!P79=3,2,0)))</f>
        <v>0</v>
      </c>
      <c r="CQ51" s="211">
        <f>IF(CdTrp2!Q79=1,1,IF(CdTrp2!Q79=2,2,IF(CdTrp2!Q79=3,2,0)))</f>
        <v>0</v>
      </c>
      <c r="CR51" s="211">
        <f>IF(CdTrp2!R79=1,1,IF(CdTrp2!R79=2,2,IF(CdTrp2!R79=3,2,0)))</f>
        <v>0</v>
      </c>
      <c r="CS51" s="211">
        <f>IF(CdTrp2!S79=1,1,IF(CdTrp2!S79=2,2,IF(CdTrp2!S79=3,2,0)))</f>
        <v>0</v>
      </c>
      <c r="CT51" s="211">
        <f>IF(CdTrp2!T79=1,1,IF(CdTrp2!T79=2,2,IF(CdTrp2!T79=3,2,0)))</f>
        <v>0</v>
      </c>
      <c r="CU51" s="211">
        <f>IF(CdTrp2!U79=1,1,IF(CdTrp2!U79=2,2,IF(CdTrp2!U79=3,2,0)))</f>
        <v>0</v>
      </c>
      <c r="CV51" s="211">
        <f>IF(CdTrp2!V79=1,1,IF(CdTrp2!V79=2,2,IF(CdTrp2!V79=3,2,0)))</f>
        <v>0</v>
      </c>
      <c r="CW51" s="211">
        <f>IF(CdTrp2!W79=1,1,IF(CdTrp2!W79=2,2,IF(CdTrp2!W79=3,2,0)))</f>
        <v>0</v>
      </c>
      <c r="CX51" s="211">
        <f>IF(CdTrp2!X79=1,1,IF(CdTrp2!X79=2,2,IF(CdTrp2!X79=3,2,0)))</f>
        <v>0</v>
      </c>
      <c r="CY51" s="211">
        <f>IF(CdTrp2!Y79=1,1,IF(CdTrp2!Y79=2,2,IF(CdTrp2!Y79=3,2,0)))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IF(CdTrp3!B79=1,1,IF(CdTrp3!B79=2,2,IF(CdTrp3!B79=3,2,0)))</f>
        <v>0</v>
      </c>
      <c r="DF51" s="215">
        <f>IF(CdTrp3!C79=1,1,IF(CdTrp3!C79=2,2,IF(CdTrp3!C79=3,2,0)))</f>
        <v>0</v>
      </c>
      <c r="DG51" s="215">
        <f>IF(CdTrp3!D79=1,1,IF(CdTrp3!D79=2,2,IF(CdTrp3!D79=3,2,0)))</f>
        <v>0</v>
      </c>
      <c r="DH51" s="215">
        <f>IF(CdTrp3!E79=1,1,IF(CdTrp3!E79=2,2,IF(CdTrp3!E79=3,2,0)))</f>
        <v>0</v>
      </c>
      <c r="DI51" s="215">
        <f>IF(CdTrp3!F79=1,1,IF(CdTrp3!F79=2,2,IF(CdTrp3!F79=3,2,0)))</f>
        <v>0</v>
      </c>
      <c r="DJ51" s="215">
        <f>IF(CdTrp3!G79=1,1,IF(CdTrp3!G79=2,2,IF(CdTrp3!G79=3,2,0)))</f>
        <v>0</v>
      </c>
      <c r="DK51" s="215">
        <f>IF(CdTrp3!H79=1,1,IF(CdTrp3!H79=2,2,IF(CdTrp3!H79=3,2,0)))</f>
        <v>0</v>
      </c>
      <c r="DL51" s="215">
        <f>IF(CdTrp3!I79=1,1,IF(CdTrp3!I79=2,2,IF(CdTrp3!I79=3,2,0)))</f>
        <v>0</v>
      </c>
      <c r="DM51" s="215">
        <f>IF(CdTrp3!J79=1,1,IF(CdTrp3!J79=2,2,IF(CdTrp3!J79=3,2,0)))</f>
        <v>0</v>
      </c>
      <c r="DN51" s="215">
        <f>IF(CdTrp3!K79=1,1,IF(CdTrp3!K79=2,2,IF(CdTrp3!K79=3,2,0)))</f>
        <v>0</v>
      </c>
      <c r="DO51" s="215">
        <f>IF(CdTrp3!L79=1,1,IF(CdTrp3!L79=2,2,IF(CdTrp3!L79=3,2,0)))</f>
        <v>0</v>
      </c>
      <c r="DP51" s="215">
        <f>IF(CdTrp3!M79=1,1,IF(CdTrp3!M79=2,2,IF(CdTrp3!M79=3,2,0)))</f>
        <v>0</v>
      </c>
      <c r="DQ51" s="215">
        <f>IF(CdTrp3!N79=1,1,IF(CdTrp3!N79=2,2,IF(CdTrp3!N79=3,2,0)))</f>
        <v>0</v>
      </c>
      <c r="DR51" s="215">
        <f>IF(CdTrp3!O79=1,1,IF(CdTrp3!O79=2,2,IF(CdTrp3!O79=3,2,0)))</f>
        <v>0</v>
      </c>
      <c r="DS51" s="215">
        <f>IF(CdTrp3!P79=1,1,IF(CdTrp3!P79=2,2,IF(CdTrp3!P79=3,2,0)))</f>
        <v>0</v>
      </c>
      <c r="DT51" s="215">
        <f>IF(CdTrp3!Q79=1,1,IF(CdTrp3!Q79=2,2,IF(CdTrp3!Q79=3,2,0)))</f>
        <v>0</v>
      </c>
      <c r="DU51" s="215">
        <f>IF(CdTrp3!R79=1,1,IF(CdTrp3!R79=2,2,IF(CdTrp3!R79=3,2,0)))</f>
        <v>0</v>
      </c>
      <c r="DV51" s="215">
        <f>IF(CdTrp3!S79=1,1,IF(CdTrp3!S79=2,2,IF(CdTrp3!S79=3,2,0)))</f>
        <v>0</v>
      </c>
      <c r="DW51" s="215">
        <f>IF(CdTrp3!T79=1,1,IF(CdTrp3!T79=2,2,IF(CdTrp3!T79=3,2,0)))</f>
        <v>0</v>
      </c>
      <c r="DX51" s="215">
        <f>IF(CdTrp3!U79=1,1,IF(CdTrp3!U79=2,2,IF(CdTrp3!U79=3,2,0)))</f>
        <v>0</v>
      </c>
      <c r="DY51" s="215">
        <f>IF(CdTrp3!V79=1,1,IF(CdTrp3!V79=2,2,IF(CdTrp3!V79=3,2,0)))</f>
        <v>0</v>
      </c>
      <c r="DZ51" s="215">
        <f>IF(CdTrp3!W79=1,1,IF(CdTrp3!W79=2,2,IF(CdTrp3!W79=3,2,0)))</f>
        <v>0</v>
      </c>
      <c r="EA51" s="215">
        <f>IF(CdTrp3!X79=1,1,IF(CdTrp3!X79=2,2,IF(CdTrp3!X79=3,2,0)))</f>
        <v>0</v>
      </c>
      <c r="EB51" s="215">
        <f>IF(CdTrp3!Y79=1,1,IF(CdTrp3!Y79=2,2,IF(CdTrp3!Y79=3,2,0)))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588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IF(CdTrp1!B80=1,1,IF(CdTrp1!B80=2,2,IF(CdTrp1!B80=3,2,0)))</f>
        <v>0</v>
      </c>
      <c r="AW52" s="215">
        <f>IF(CdTrp1!C80=1,1,IF(CdTrp1!C80=2,2,IF(CdTrp1!C80=3,2,0)))</f>
        <v>0</v>
      </c>
      <c r="AX52" s="215">
        <f>IF(CdTrp1!D80=1,1,IF(CdTrp1!D80=2,2,IF(CdTrp1!D80=3,2,0)))</f>
        <v>0</v>
      </c>
      <c r="AY52" s="215">
        <f>IF(CdTrp1!E80=1,1,IF(CdTrp1!E80=2,2,IF(CdTrp1!E80=3,2,0)))</f>
        <v>0</v>
      </c>
      <c r="AZ52" s="215">
        <f>IF(CdTrp1!F80=1,1,IF(CdTrp1!F80=2,2,IF(CdTrp1!F80=3,2,0)))</f>
        <v>0</v>
      </c>
      <c r="BA52" s="215">
        <f>IF(CdTrp1!G80=1,1,IF(CdTrp1!G80=2,2,IF(CdTrp1!G80=3,2,0)))</f>
        <v>0</v>
      </c>
      <c r="BB52" s="215">
        <f>IF(CdTrp1!H80=1,1,IF(CdTrp1!H80=2,2,IF(CdTrp1!H80=3,2,0)))</f>
        <v>0</v>
      </c>
      <c r="BC52" s="215">
        <f>IF(CdTrp1!I80=1,1,IF(CdTrp1!I80=2,2,IF(CdTrp1!I80=3,2,0)))</f>
        <v>0</v>
      </c>
      <c r="BD52" s="215">
        <f>IF(CdTrp1!J80=1,1,IF(CdTrp1!J80=2,2,IF(CdTrp1!J80=3,2,0)))</f>
        <v>0</v>
      </c>
      <c r="BE52" s="215">
        <f>IF(CdTrp1!K80=1,1,IF(CdTrp1!K80=2,2,IF(CdTrp1!K80=3,2,0)))</f>
        <v>0</v>
      </c>
      <c r="BF52" s="215">
        <f>IF(CdTrp1!L80=1,1,IF(CdTrp1!L80=2,2,IF(CdTrp1!L80=3,2,0)))</f>
        <v>0</v>
      </c>
      <c r="BG52" s="215">
        <f>IF(CdTrp1!M80=1,1,IF(CdTrp1!M80=2,2,IF(CdTrp1!M80=3,2,0)))</f>
        <v>0</v>
      </c>
      <c r="BH52" s="215">
        <f>IF(CdTrp1!N80=1,1,IF(CdTrp1!N80=2,2,IF(CdTrp1!N80=3,2,0)))</f>
        <v>0</v>
      </c>
      <c r="BI52" s="215">
        <f>IF(CdTrp1!O80=1,1,IF(CdTrp1!O80=2,2,IF(CdTrp1!O80=3,2,0)))</f>
        <v>0</v>
      </c>
      <c r="BJ52" s="215">
        <f>IF(CdTrp1!P80=1,1,IF(CdTrp1!P80=2,2,IF(CdTrp1!P80=3,2,0)))</f>
        <v>0</v>
      </c>
      <c r="BK52" s="215">
        <f>IF(CdTrp1!Q80=1,1,IF(CdTrp1!Q80=2,2,IF(CdTrp1!Q80=3,2,0)))</f>
        <v>0</v>
      </c>
      <c r="BL52" s="215">
        <f>IF(CdTrp1!R80=1,1,IF(CdTrp1!R80=2,2,IF(CdTrp1!R80=3,2,0)))</f>
        <v>0</v>
      </c>
      <c r="BM52" s="215">
        <f>IF(CdTrp1!S80=1,1,IF(CdTrp1!S80=2,2,IF(CdTrp1!S80=3,2,0)))</f>
        <v>0</v>
      </c>
      <c r="BN52" s="215">
        <f>IF(CdTrp1!T80=1,1,IF(CdTrp1!T80=2,2,IF(CdTrp1!T80=3,2,0)))</f>
        <v>0</v>
      </c>
      <c r="BO52" s="215">
        <f>IF(CdTrp1!U80=1,1,IF(CdTrp1!U80=2,2,IF(CdTrp1!U80=3,2,0)))</f>
        <v>0</v>
      </c>
      <c r="BP52" s="215">
        <f>IF(CdTrp1!V80=1,1,IF(CdTrp1!V80=2,2,IF(CdTrp1!V80=3,2,0)))</f>
        <v>0</v>
      </c>
      <c r="BQ52" s="215">
        <f>IF(CdTrp1!W80=1,1,IF(CdTrp1!W80=2,2,IF(CdTrp1!W80=3,2,0)))</f>
        <v>0</v>
      </c>
      <c r="BR52" s="215">
        <f>IF(CdTrp1!X80=1,1,IF(CdTrp1!X80=2,2,IF(CdTrp1!X80=3,2,0)))</f>
        <v>0</v>
      </c>
      <c r="BS52" s="215">
        <f>IF(CdTrp1!Y80=1,1,IF(CdTrp1!Y80=2,2,IF(CdTrp1!Y80=3,2,0)))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IF(CdTrp2!B80=1,1,IF(CdTrp2!B80=2,2,IF(CdTrp2!B80=3,2,0)))</f>
        <v>0</v>
      </c>
      <c r="CC52" s="211">
        <f>IF(CdTrp2!C80=1,1,IF(CdTrp2!C80=2,2,IF(CdTrp2!C80=3,2,0)))</f>
        <v>0</v>
      </c>
      <c r="CD52" s="211">
        <f>IF(CdTrp2!D80=1,1,IF(CdTrp2!D80=2,2,IF(CdTrp2!D80=3,2,0)))</f>
        <v>0</v>
      </c>
      <c r="CE52" s="211">
        <f>IF(CdTrp2!E80=1,1,IF(CdTrp2!E80=2,2,IF(CdTrp2!E80=3,2,0)))</f>
        <v>0</v>
      </c>
      <c r="CF52" s="211">
        <f>IF(CdTrp2!F80=1,1,IF(CdTrp2!F80=2,2,IF(CdTrp2!F80=3,2,0)))</f>
        <v>0</v>
      </c>
      <c r="CG52" s="211">
        <f>IF(CdTrp2!G80=1,1,IF(CdTrp2!G80=2,2,IF(CdTrp2!G80=3,2,0)))</f>
        <v>0</v>
      </c>
      <c r="CH52" s="211">
        <f>IF(CdTrp2!H80=1,1,IF(CdTrp2!H80=2,2,IF(CdTrp2!H80=3,2,0)))</f>
        <v>0</v>
      </c>
      <c r="CI52" s="211">
        <f>IF(CdTrp2!I80=1,1,IF(CdTrp2!I80=2,2,IF(CdTrp2!I80=3,2,0)))</f>
        <v>0</v>
      </c>
      <c r="CJ52" s="211">
        <f>IF(CdTrp2!J80=1,1,IF(CdTrp2!J80=2,2,IF(CdTrp2!J80=3,2,0)))</f>
        <v>0</v>
      </c>
      <c r="CK52" s="211">
        <f>IF(CdTrp2!K80=1,1,IF(CdTrp2!K80=2,2,IF(CdTrp2!K80=3,2,0)))</f>
        <v>0</v>
      </c>
      <c r="CL52" s="211">
        <f>IF(CdTrp2!L80=1,1,IF(CdTrp2!L80=2,2,IF(CdTrp2!L80=3,2,0)))</f>
        <v>0</v>
      </c>
      <c r="CM52" s="211">
        <f>IF(CdTrp2!M80=1,1,IF(CdTrp2!M80=2,2,IF(CdTrp2!M80=3,2,0)))</f>
        <v>0</v>
      </c>
      <c r="CN52" s="211">
        <f>IF(CdTrp2!N80=1,1,IF(CdTrp2!N80=2,2,IF(CdTrp2!N80=3,2,0)))</f>
        <v>0</v>
      </c>
      <c r="CO52" s="211">
        <f>IF(CdTrp2!O80=1,1,IF(CdTrp2!O80=2,2,IF(CdTrp2!O80=3,2,0)))</f>
        <v>0</v>
      </c>
      <c r="CP52" s="211">
        <f>IF(CdTrp2!P80=1,1,IF(CdTrp2!P80=2,2,IF(CdTrp2!P80=3,2,0)))</f>
        <v>0</v>
      </c>
      <c r="CQ52" s="211">
        <f>IF(CdTrp2!Q80=1,1,IF(CdTrp2!Q80=2,2,IF(CdTrp2!Q80=3,2,0)))</f>
        <v>0</v>
      </c>
      <c r="CR52" s="211">
        <f>IF(CdTrp2!R80=1,1,IF(CdTrp2!R80=2,2,IF(CdTrp2!R80=3,2,0)))</f>
        <v>0</v>
      </c>
      <c r="CS52" s="211">
        <f>IF(CdTrp2!S80=1,1,IF(CdTrp2!S80=2,2,IF(CdTrp2!S80=3,2,0)))</f>
        <v>0</v>
      </c>
      <c r="CT52" s="211">
        <f>IF(CdTrp2!T80=1,1,IF(CdTrp2!T80=2,2,IF(CdTrp2!T80=3,2,0)))</f>
        <v>0</v>
      </c>
      <c r="CU52" s="211">
        <f>IF(CdTrp2!U80=1,1,IF(CdTrp2!U80=2,2,IF(CdTrp2!U80=3,2,0)))</f>
        <v>0</v>
      </c>
      <c r="CV52" s="211">
        <f>IF(CdTrp2!V80=1,1,IF(CdTrp2!V80=2,2,IF(CdTrp2!V80=3,2,0)))</f>
        <v>0</v>
      </c>
      <c r="CW52" s="211">
        <f>IF(CdTrp2!W80=1,1,IF(CdTrp2!W80=2,2,IF(CdTrp2!W80=3,2,0)))</f>
        <v>0</v>
      </c>
      <c r="CX52" s="211">
        <f>IF(CdTrp2!X80=1,1,IF(CdTrp2!X80=2,2,IF(CdTrp2!X80=3,2,0)))</f>
        <v>0</v>
      </c>
      <c r="CY52" s="211">
        <f>IF(CdTrp2!Y80=1,1,IF(CdTrp2!Y80=2,2,IF(CdTrp2!Y80=3,2,0)))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IF(CdTrp3!B80=1,1,IF(CdTrp3!B80=2,2,IF(CdTrp3!B80=3,2,0)))</f>
        <v>0</v>
      </c>
      <c r="DF52" s="215">
        <f>IF(CdTrp3!C80=1,1,IF(CdTrp3!C80=2,2,IF(CdTrp3!C80=3,2,0)))</f>
        <v>0</v>
      </c>
      <c r="DG52" s="215">
        <f>IF(CdTrp3!D80=1,1,IF(CdTrp3!D80=2,2,IF(CdTrp3!D80=3,2,0)))</f>
        <v>0</v>
      </c>
      <c r="DH52" s="215">
        <f>IF(CdTrp3!E80=1,1,IF(CdTrp3!E80=2,2,IF(CdTrp3!E80=3,2,0)))</f>
        <v>0</v>
      </c>
      <c r="DI52" s="215">
        <f>IF(CdTrp3!F80=1,1,IF(CdTrp3!F80=2,2,IF(CdTrp3!F80=3,2,0)))</f>
        <v>0</v>
      </c>
      <c r="DJ52" s="215">
        <f>IF(CdTrp3!G80=1,1,IF(CdTrp3!G80=2,2,IF(CdTrp3!G80=3,2,0)))</f>
        <v>0</v>
      </c>
      <c r="DK52" s="215">
        <f>IF(CdTrp3!H80=1,1,IF(CdTrp3!H80=2,2,IF(CdTrp3!H80=3,2,0)))</f>
        <v>0</v>
      </c>
      <c r="DL52" s="215">
        <f>IF(CdTrp3!I80=1,1,IF(CdTrp3!I80=2,2,IF(CdTrp3!I80=3,2,0)))</f>
        <v>0</v>
      </c>
      <c r="DM52" s="215">
        <f>IF(CdTrp3!J80=1,1,IF(CdTrp3!J80=2,2,IF(CdTrp3!J80=3,2,0)))</f>
        <v>0</v>
      </c>
      <c r="DN52" s="215">
        <f>IF(CdTrp3!K80=1,1,IF(CdTrp3!K80=2,2,IF(CdTrp3!K80=3,2,0)))</f>
        <v>0</v>
      </c>
      <c r="DO52" s="215">
        <f>IF(CdTrp3!L80=1,1,IF(CdTrp3!L80=2,2,IF(CdTrp3!L80=3,2,0)))</f>
        <v>0</v>
      </c>
      <c r="DP52" s="215">
        <f>IF(CdTrp3!M80=1,1,IF(CdTrp3!M80=2,2,IF(CdTrp3!M80=3,2,0)))</f>
        <v>0</v>
      </c>
      <c r="DQ52" s="215">
        <f>IF(CdTrp3!N80=1,1,IF(CdTrp3!N80=2,2,IF(CdTrp3!N80=3,2,0)))</f>
        <v>0</v>
      </c>
      <c r="DR52" s="215">
        <f>IF(CdTrp3!O80=1,1,IF(CdTrp3!O80=2,2,IF(CdTrp3!O80=3,2,0)))</f>
        <v>0</v>
      </c>
      <c r="DS52" s="215">
        <f>IF(CdTrp3!P80=1,1,IF(CdTrp3!P80=2,2,IF(CdTrp3!P80=3,2,0)))</f>
        <v>0</v>
      </c>
      <c r="DT52" s="215">
        <f>IF(CdTrp3!Q80=1,1,IF(CdTrp3!Q80=2,2,IF(CdTrp3!Q80=3,2,0)))</f>
        <v>0</v>
      </c>
      <c r="DU52" s="215">
        <f>IF(CdTrp3!R80=1,1,IF(CdTrp3!R80=2,2,IF(CdTrp3!R80=3,2,0)))</f>
        <v>0</v>
      </c>
      <c r="DV52" s="215">
        <f>IF(CdTrp3!S80=1,1,IF(CdTrp3!S80=2,2,IF(CdTrp3!S80=3,2,0)))</f>
        <v>0</v>
      </c>
      <c r="DW52" s="215">
        <f>IF(CdTrp3!T80=1,1,IF(CdTrp3!T80=2,2,IF(CdTrp3!T80=3,2,0)))</f>
        <v>0</v>
      </c>
      <c r="DX52" s="215">
        <f>IF(CdTrp3!U80=1,1,IF(CdTrp3!U80=2,2,IF(CdTrp3!U80=3,2,0)))</f>
        <v>0</v>
      </c>
      <c r="DY52" s="215">
        <f>IF(CdTrp3!V80=1,1,IF(CdTrp3!V80=2,2,IF(CdTrp3!V80=3,2,0)))</f>
        <v>0</v>
      </c>
      <c r="DZ52" s="215">
        <f>IF(CdTrp3!W80=1,1,IF(CdTrp3!W80=2,2,IF(CdTrp3!W80=3,2,0)))</f>
        <v>0</v>
      </c>
      <c r="EA52" s="215">
        <f>IF(CdTrp3!X80=1,1,IF(CdTrp3!X80=2,2,IF(CdTrp3!X80=3,2,0)))</f>
        <v>0</v>
      </c>
      <c r="EB52" s="215">
        <f>IF(CdTrp3!Y80=1,1,IF(CdTrp3!Y80=2,2,IF(CdTrp3!Y80=3,2,0)))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1030</v>
      </c>
      <c r="Y53" s="211">
        <f>ROUND(SUM(AC49:AC51)/SUM(AC47:AC51)*100,0)</f>
        <v>0</v>
      </c>
      <c r="Z53" s="211" t="s">
        <v>441</v>
      </c>
      <c r="AA53" s="211"/>
      <c r="AB53" s="211"/>
      <c r="AC53" s="211"/>
      <c r="AD53" s="211"/>
      <c r="AE53" s="211"/>
      <c r="AF53" s="211"/>
      <c r="AG53" s="268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IF(CdTrp1!B81=1,1,IF(CdTrp1!B81=2,2,IF(CdTrp1!B81=3,2,0)))</f>
        <v>0</v>
      </c>
      <c r="AW53" s="215">
        <f>IF(CdTrp1!C81=1,1,IF(CdTrp1!C81=2,2,IF(CdTrp1!C81=3,2,0)))</f>
        <v>0</v>
      </c>
      <c r="AX53" s="215">
        <f>IF(CdTrp1!D81=1,1,IF(CdTrp1!D81=2,2,IF(CdTrp1!D81=3,2,0)))</f>
        <v>0</v>
      </c>
      <c r="AY53" s="215">
        <f>IF(CdTrp1!E81=1,1,IF(CdTrp1!E81=2,2,IF(CdTrp1!E81=3,2,0)))</f>
        <v>0</v>
      </c>
      <c r="AZ53" s="215">
        <f>IF(CdTrp1!F81=1,1,IF(CdTrp1!F81=2,2,IF(CdTrp1!F81=3,2,0)))</f>
        <v>0</v>
      </c>
      <c r="BA53" s="215">
        <f>IF(CdTrp1!G81=1,1,IF(CdTrp1!G81=2,2,IF(CdTrp1!G81=3,2,0)))</f>
        <v>0</v>
      </c>
      <c r="BB53" s="215">
        <f>IF(CdTrp1!H81=1,1,IF(CdTrp1!H81=2,2,IF(CdTrp1!H81=3,2,0)))</f>
        <v>0</v>
      </c>
      <c r="BC53" s="215">
        <f>IF(CdTrp1!I81=1,1,IF(CdTrp1!I81=2,2,IF(CdTrp1!I81=3,2,0)))</f>
        <v>0</v>
      </c>
      <c r="BD53" s="215">
        <f>IF(CdTrp1!J81=1,1,IF(CdTrp1!J81=2,2,IF(CdTrp1!J81=3,2,0)))</f>
        <v>0</v>
      </c>
      <c r="BE53" s="215">
        <f>IF(CdTrp1!K81=1,1,IF(CdTrp1!K81=2,2,IF(CdTrp1!K81=3,2,0)))</f>
        <v>0</v>
      </c>
      <c r="BF53" s="215">
        <f>IF(CdTrp1!L81=1,1,IF(CdTrp1!L81=2,2,IF(CdTrp1!L81=3,2,0)))</f>
        <v>0</v>
      </c>
      <c r="BG53" s="215">
        <f>IF(CdTrp1!M81=1,1,IF(CdTrp1!M81=2,2,IF(CdTrp1!M81=3,2,0)))</f>
        <v>0</v>
      </c>
      <c r="BH53" s="215">
        <f>IF(CdTrp1!N81=1,1,IF(CdTrp1!N81=2,2,IF(CdTrp1!N81=3,2,0)))</f>
        <v>0</v>
      </c>
      <c r="BI53" s="215">
        <f>IF(CdTrp1!O81=1,1,IF(CdTrp1!O81=2,2,IF(CdTrp1!O81=3,2,0)))</f>
        <v>0</v>
      </c>
      <c r="BJ53" s="215">
        <f>IF(CdTrp1!P81=1,1,IF(CdTrp1!P81=2,2,IF(CdTrp1!P81=3,2,0)))</f>
        <v>0</v>
      </c>
      <c r="BK53" s="215">
        <f>IF(CdTrp1!Q81=1,1,IF(CdTrp1!Q81=2,2,IF(CdTrp1!Q81=3,2,0)))</f>
        <v>0</v>
      </c>
      <c r="BL53" s="215">
        <f>IF(CdTrp1!R81=1,1,IF(CdTrp1!R81=2,2,IF(CdTrp1!R81=3,2,0)))</f>
        <v>0</v>
      </c>
      <c r="BM53" s="215">
        <f>IF(CdTrp1!S81=1,1,IF(CdTrp1!S81=2,2,IF(CdTrp1!S81=3,2,0)))</f>
        <v>0</v>
      </c>
      <c r="BN53" s="215">
        <f>IF(CdTrp1!T81=1,1,IF(CdTrp1!T81=2,2,IF(CdTrp1!T81=3,2,0)))</f>
        <v>0</v>
      </c>
      <c r="BO53" s="215">
        <f>IF(CdTrp1!U81=1,1,IF(CdTrp1!U81=2,2,IF(CdTrp1!U81=3,2,0)))</f>
        <v>0</v>
      </c>
      <c r="BP53" s="215">
        <f>IF(CdTrp1!V81=1,1,IF(CdTrp1!V81=2,2,IF(CdTrp1!V81=3,2,0)))</f>
        <v>0</v>
      </c>
      <c r="BQ53" s="215">
        <f>IF(CdTrp1!W81=1,1,IF(CdTrp1!W81=2,2,IF(CdTrp1!W81=3,2,0)))</f>
        <v>0</v>
      </c>
      <c r="BR53" s="215">
        <f>IF(CdTrp1!X81=1,1,IF(CdTrp1!X81=2,2,IF(CdTrp1!X81=3,2,0)))</f>
        <v>0</v>
      </c>
      <c r="BS53" s="215">
        <f>IF(CdTrp1!Y81=1,1,IF(CdTrp1!Y81=2,2,IF(CdTrp1!Y81=3,2,0)))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IF(CdTrp2!B81=1,1,IF(CdTrp2!B81=2,2,IF(CdTrp2!B81=3,2,0)))</f>
        <v>0</v>
      </c>
      <c r="CC53" s="211">
        <f>IF(CdTrp2!C81=1,1,IF(CdTrp2!C81=2,2,IF(CdTrp2!C81=3,2,0)))</f>
        <v>0</v>
      </c>
      <c r="CD53" s="211">
        <f>IF(CdTrp2!D81=1,1,IF(CdTrp2!D81=2,2,IF(CdTrp2!D81=3,2,0)))</f>
        <v>0</v>
      </c>
      <c r="CE53" s="211">
        <f>IF(CdTrp2!E81=1,1,IF(CdTrp2!E81=2,2,IF(CdTrp2!E81=3,2,0)))</f>
        <v>0</v>
      </c>
      <c r="CF53" s="211">
        <f>IF(CdTrp2!F81=1,1,IF(CdTrp2!F81=2,2,IF(CdTrp2!F81=3,2,0)))</f>
        <v>0</v>
      </c>
      <c r="CG53" s="211">
        <f>IF(CdTrp2!G81=1,1,IF(CdTrp2!G81=2,2,IF(CdTrp2!G81=3,2,0)))</f>
        <v>0</v>
      </c>
      <c r="CH53" s="211">
        <f>IF(CdTrp2!H81=1,1,IF(CdTrp2!H81=2,2,IF(CdTrp2!H81=3,2,0)))</f>
        <v>0</v>
      </c>
      <c r="CI53" s="211">
        <f>IF(CdTrp2!I81=1,1,IF(CdTrp2!I81=2,2,IF(CdTrp2!I81=3,2,0)))</f>
        <v>0</v>
      </c>
      <c r="CJ53" s="211">
        <f>IF(CdTrp2!J81=1,1,IF(CdTrp2!J81=2,2,IF(CdTrp2!J81=3,2,0)))</f>
        <v>0</v>
      </c>
      <c r="CK53" s="211">
        <f>IF(CdTrp2!K81=1,1,IF(CdTrp2!K81=2,2,IF(CdTrp2!K81=3,2,0)))</f>
        <v>0</v>
      </c>
      <c r="CL53" s="211">
        <f>IF(CdTrp2!L81=1,1,IF(CdTrp2!L81=2,2,IF(CdTrp2!L81=3,2,0)))</f>
        <v>0</v>
      </c>
      <c r="CM53" s="211">
        <f>IF(CdTrp2!M81=1,1,IF(CdTrp2!M81=2,2,IF(CdTrp2!M81=3,2,0)))</f>
        <v>0</v>
      </c>
      <c r="CN53" s="211">
        <f>IF(CdTrp2!N81=1,1,IF(CdTrp2!N81=2,2,IF(CdTrp2!N81=3,2,0)))</f>
        <v>0</v>
      </c>
      <c r="CO53" s="211">
        <f>IF(CdTrp2!O81=1,1,IF(CdTrp2!O81=2,2,IF(CdTrp2!O81=3,2,0)))</f>
        <v>0</v>
      </c>
      <c r="CP53" s="211">
        <f>IF(CdTrp2!P81=1,1,IF(CdTrp2!P81=2,2,IF(CdTrp2!P81=3,2,0)))</f>
        <v>0</v>
      </c>
      <c r="CQ53" s="211">
        <f>IF(CdTrp2!Q81=1,1,IF(CdTrp2!Q81=2,2,IF(CdTrp2!Q81=3,2,0)))</f>
        <v>0</v>
      </c>
      <c r="CR53" s="211">
        <f>IF(CdTrp2!R81=1,1,IF(CdTrp2!R81=2,2,IF(CdTrp2!R81=3,2,0)))</f>
        <v>0</v>
      </c>
      <c r="CS53" s="211">
        <f>IF(CdTrp2!S81=1,1,IF(CdTrp2!S81=2,2,IF(CdTrp2!S81=3,2,0)))</f>
        <v>0</v>
      </c>
      <c r="CT53" s="211">
        <f>IF(CdTrp2!T81=1,1,IF(CdTrp2!T81=2,2,IF(CdTrp2!T81=3,2,0)))</f>
        <v>0</v>
      </c>
      <c r="CU53" s="211">
        <f>IF(CdTrp2!U81=1,1,IF(CdTrp2!U81=2,2,IF(CdTrp2!U81=3,2,0)))</f>
        <v>0</v>
      </c>
      <c r="CV53" s="211">
        <f>IF(CdTrp2!V81=1,1,IF(CdTrp2!V81=2,2,IF(CdTrp2!V81=3,2,0)))</f>
        <v>0</v>
      </c>
      <c r="CW53" s="211">
        <f>IF(CdTrp2!W81=1,1,IF(CdTrp2!W81=2,2,IF(CdTrp2!W81=3,2,0)))</f>
        <v>0</v>
      </c>
      <c r="CX53" s="211">
        <f>IF(CdTrp2!X81=1,1,IF(CdTrp2!X81=2,2,IF(CdTrp2!X81=3,2,0)))</f>
        <v>0</v>
      </c>
      <c r="CY53" s="211">
        <f>IF(CdTrp2!Y81=1,1,IF(CdTrp2!Y81=2,2,IF(CdTrp2!Y81=3,2,0)))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IF(CdTrp3!B81=1,1,IF(CdTrp3!B81=2,2,IF(CdTrp3!B81=3,2,0)))</f>
        <v>0</v>
      </c>
      <c r="DF53" s="215">
        <f>IF(CdTrp3!C81=1,1,IF(CdTrp3!C81=2,2,IF(CdTrp3!C81=3,2,0)))</f>
        <v>0</v>
      </c>
      <c r="DG53" s="215">
        <f>IF(CdTrp3!D81=1,1,IF(CdTrp3!D81=2,2,IF(CdTrp3!D81=3,2,0)))</f>
        <v>0</v>
      </c>
      <c r="DH53" s="215">
        <f>IF(CdTrp3!E81=1,1,IF(CdTrp3!E81=2,2,IF(CdTrp3!E81=3,2,0)))</f>
        <v>0</v>
      </c>
      <c r="DI53" s="215">
        <f>IF(CdTrp3!F81=1,1,IF(CdTrp3!F81=2,2,IF(CdTrp3!F81=3,2,0)))</f>
        <v>0</v>
      </c>
      <c r="DJ53" s="215">
        <f>IF(CdTrp3!G81=1,1,IF(CdTrp3!G81=2,2,IF(CdTrp3!G81=3,2,0)))</f>
        <v>0</v>
      </c>
      <c r="DK53" s="215">
        <f>IF(CdTrp3!H81=1,1,IF(CdTrp3!H81=2,2,IF(CdTrp3!H81=3,2,0)))</f>
        <v>0</v>
      </c>
      <c r="DL53" s="215">
        <f>IF(CdTrp3!I81=1,1,IF(CdTrp3!I81=2,2,IF(CdTrp3!I81=3,2,0)))</f>
        <v>0</v>
      </c>
      <c r="DM53" s="215">
        <f>IF(CdTrp3!J81=1,1,IF(CdTrp3!J81=2,2,IF(CdTrp3!J81=3,2,0)))</f>
        <v>0</v>
      </c>
      <c r="DN53" s="215">
        <f>IF(CdTrp3!K81=1,1,IF(CdTrp3!K81=2,2,IF(CdTrp3!K81=3,2,0)))</f>
        <v>0</v>
      </c>
      <c r="DO53" s="215">
        <f>IF(CdTrp3!L81=1,1,IF(CdTrp3!L81=2,2,IF(CdTrp3!L81=3,2,0)))</f>
        <v>0</v>
      </c>
      <c r="DP53" s="215">
        <f>IF(CdTrp3!M81=1,1,IF(CdTrp3!M81=2,2,IF(CdTrp3!M81=3,2,0)))</f>
        <v>0</v>
      </c>
      <c r="DQ53" s="215">
        <f>IF(CdTrp3!N81=1,1,IF(CdTrp3!N81=2,2,IF(CdTrp3!N81=3,2,0)))</f>
        <v>0</v>
      </c>
      <c r="DR53" s="215">
        <f>IF(CdTrp3!O81=1,1,IF(CdTrp3!O81=2,2,IF(CdTrp3!O81=3,2,0)))</f>
        <v>0</v>
      </c>
      <c r="DS53" s="215">
        <f>IF(CdTrp3!P81=1,1,IF(CdTrp3!P81=2,2,IF(CdTrp3!P81=3,2,0)))</f>
        <v>0</v>
      </c>
      <c r="DT53" s="215">
        <f>IF(CdTrp3!Q81=1,1,IF(CdTrp3!Q81=2,2,IF(CdTrp3!Q81=3,2,0)))</f>
        <v>0</v>
      </c>
      <c r="DU53" s="215">
        <f>IF(CdTrp3!R81=1,1,IF(CdTrp3!R81=2,2,IF(CdTrp3!R81=3,2,0)))</f>
        <v>0</v>
      </c>
      <c r="DV53" s="215">
        <f>IF(CdTrp3!S81=1,1,IF(CdTrp3!S81=2,2,IF(CdTrp3!S81=3,2,0)))</f>
        <v>0</v>
      </c>
      <c r="DW53" s="215">
        <f>IF(CdTrp3!T81=1,1,IF(CdTrp3!T81=2,2,IF(CdTrp3!T81=3,2,0)))</f>
        <v>0</v>
      </c>
      <c r="DX53" s="215">
        <f>IF(CdTrp3!U81=1,1,IF(CdTrp3!U81=2,2,IF(CdTrp3!U81=3,2,0)))</f>
        <v>0</v>
      </c>
      <c r="DY53" s="215">
        <f>IF(CdTrp3!V81=1,1,IF(CdTrp3!V81=2,2,IF(CdTrp3!V81=3,2,0)))</f>
        <v>0</v>
      </c>
      <c r="DZ53" s="215">
        <f>IF(CdTrp3!W81=1,1,IF(CdTrp3!W81=2,2,IF(CdTrp3!W81=3,2,0)))</f>
        <v>0</v>
      </c>
      <c r="EA53" s="215">
        <f>IF(CdTrp3!X81=1,1,IF(CdTrp3!X81=2,2,IF(CdTrp3!X81=3,2,0)))</f>
        <v>0</v>
      </c>
      <c r="EB53" s="215">
        <f>IF(CdTrp3!Y81=1,1,IF(CdTrp3!Y81=2,2,IF(CdTrp3!Y81=3,2,0)))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1031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8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IF(CdTrp1!B82=1,1,IF(CdTrp1!B82=2,2,IF(CdTrp1!B82=3,2,0)))</f>
        <v>0</v>
      </c>
      <c r="AW54" s="215">
        <f>IF(CdTrp1!C82=1,1,IF(CdTrp1!C82=2,2,IF(CdTrp1!C82=3,2,0)))</f>
        <v>0</v>
      </c>
      <c r="AX54" s="215">
        <f>IF(CdTrp1!D82=1,1,IF(CdTrp1!D82=2,2,IF(CdTrp1!D82=3,2,0)))</f>
        <v>0</v>
      </c>
      <c r="AY54" s="215">
        <f>IF(CdTrp1!E82=1,1,IF(CdTrp1!E82=2,2,IF(CdTrp1!E82=3,2,0)))</f>
        <v>0</v>
      </c>
      <c r="AZ54" s="215">
        <f>IF(CdTrp1!F82=1,1,IF(CdTrp1!F82=2,2,IF(CdTrp1!F82=3,2,0)))</f>
        <v>0</v>
      </c>
      <c r="BA54" s="215">
        <f>IF(CdTrp1!G82=1,1,IF(CdTrp1!G82=2,2,IF(CdTrp1!G82=3,2,0)))</f>
        <v>0</v>
      </c>
      <c r="BB54" s="215">
        <f>IF(CdTrp1!H82=1,1,IF(CdTrp1!H82=2,2,IF(CdTrp1!H82=3,2,0)))</f>
        <v>0</v>
      </c>
      <c r="BC54" s="215">
        <f>IF(CdTrp1!I82=1,1,IF(CdTrp1!I82=2,2,IF(CdTrp1!I82=3,2,0)))</f>
        <v>0</v>
      </c>
      <c r="BD54" s="215">
        <f>IF(CdTrp1!J82=1,1,IF(CdTrp1!J82=2,2,IF(CdTrp1!J82=3,2,0)))</f>
        <v>0</v>
      </c>
      <c r="BE54" s="215">
        <f>IF(CdTrp1!K82=1,1,IF(CdTrp1!K82=2,2,IF(CdTrp1!K82=3,2,0)))</f>
        <v>0</v>
      </c>
      <c r="BF54" s="215">
        <f>IF(CdTrp1!L82=1,1,IF(CdTrp1!L82=2,2,IF(CdTrp1!L82=3,2,0)))</f>
        <v>0</v>
      </c>
      <c r="BG54" s="215">
        <f>IF(CdTrp1!M82=1,1,IF(CdTrp1!M82=2,2,IF(CdTrp1!M82=3,2,0)))</f>
        <v>0</v>
      </c>
      <c r="BH54" s="215">
        <f>IF(CdTrp1!N82=1,1,IF(CdTrp1!N82=2,2,IF(CdTrp1!N82=3,2,0)))</f>
        <v>0</v>
      </c>
      <c r="BI54" s="215">
        <f>IF(CdTrp1!O82=1,1,IF(CdTrp1!O82=2,2,IF(CdTrp1!O82=3,2,0)))</f>
        <v>0</v>
      </c>
      <c r="BJ54" s="215">
        <f>IF(CdTrp1!P82=1,1,IF(CdTrp1!P82=2,2,IF(CdTrp1!P82=3,2,0)))</f>
        <v>0</v>
      </c>
      <c r="BK54" s="215">
        <f>IF(CdTrp1!Q82=1,1,IF(CdTrp1!Q82=2,2,IF(CdTrp1!Q82=3,2,0)))</f>
        <v>0</v>
      </c>
      <c r="BL54" s="215">
        <f>IF(CdTrp1!R82=1,1,IF(CdTrp1!R82=2,2,IF(CdTrp1!R82=3,2,0)))</f>
        <v>0</v>
      </c>
      <c r="BM54" s="215">
        <f>IF(CdTrp1!S82=1,1,IF(CdTrp1!S82=2,2,IF(CdTrp1!S82=3,2,0)))</f>
        <v>0</v>
      </c>
      <c r="BN54" s="215">
        <f>IF(CdTrp1!T82=1,1,IF(CdTrp1!T82=2,2,IF(CdTrp1!T82=3,2,0)))</f>
        <v>0</v>
      </c>
      <c r="BO54" s="215">
        <f>IF(CdTrp1!U82=1,1,IF(CdTrp1!U82=2,2,IF(CdTrp1!U82=3,2,0)))</f>
        <v>0</v>
      </c>
      <c r="BP54" s="215">
        <f>IF(CdTrp1!V82=1,1,IF(CdTrp1!V82=2,2,IF(CdTrp1!V82=3,2,0)))</f>
        <v>0</v>
      </c>
      <c r="BQ54" s="215">
        <f>IF(CdTrp1!W82=1,1,IF(CdTrp1!W82=2,2,IF(CdTrp1!W82=3,2,0)))</f>
        <v>0</v>
      </c>
      <c r="BR54" s="215">
        <f>IF(CdTrp1!X82=1,1,IF(CdTrp1!X82=2,2,IF(CdTrp1!X82=3,2,0)))</f>
        <v>0</v>
      </c>
      <c r="BS54" s="215">
        <f>IF(CdTrp1!Y82=1,1,IF(CdTrp1!Y82=2,2,IF(CdTrp1!Y82=3,2,0)))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IF(CdTrp2!B82=1,1,IF(CdTrp2!B82=2,2,IF(CdTrp2!B82=3,2,0)))</f>
        <v>0</v>
      </c>
      <c r="CC54" s="211">
        <f>IF(CdTrp2!C82=1,1,IF(CdTrp2!C82=2,2,IF(CdTrp2!C82=3,2,0)))</f>
        <v>0</v>
      </c>
      <c r="CD54" s="211">
        <f>IF(CdTrp2!D82=1,1,IF(CdTrp2!D82=2,2,IF(CdTrp2!D82=3,2,0)))</f>
        <v>0</v>
      </c>
      <c r="CE54" s="211">
        <f>IF(CdTrp2!E82=1,1,IF(CdTrp2!E82=2,2,IF(CdTrp2!E82=3,2,0)))</f>
        <v>0</v>
      </c>
      <c r="CF54" s="211">
        <f>IF(CdTrp2!F82=1,1,IF(CdTrp2!F82=2,2,IF(CdTrp2!F82=3,2,0)))</f>
        <v>0</v>
      </c>
      <c r="CG54" s="211">
        <f>IF(CdTrp2!G82=1,1,IF(CdTrp2!G82=2,2,IF(CdTrp2!G82=3,2,0)))</f>
        <v>0</v>
      </c>
      <c r="CH54" s="211">
        <f>IF(CdTrp2!H82=1,1,IF(CdTrp2!H82=2,2,IF(CdTrp2!H82=3,2,0)))</f>
        <v>0</v>
      </c>
      <c r="CI54" s="211">
        <f>IF(CdTrp2!I82=1,1,IF(CdTrp2!I82=2,2,IF(CdTrp2!I82=3,2,0)))</f>
        <v>0</v>
      </c>
      <c r="CJ54" s="211">
        <f>IF(CdTrp2!J82=1,1,IF(CdTrp2!J82=2,2,IF(CdTrp2!J82=3,2,0)))</f>
        <v>0</v>
      </c>
      <c r="CK54" s="211">
        <f>IF(CdTrp2!K82=1,1,IF(CdTrp2!K82=2,2,IF(CdTrp2!K82=3,2,0)))</f>
        <v>0</v>
      </c>
      <c r="CL54" s="211">
        <f>IF(CdTrp2!L82=1,1,IF(CdTrp2!L82=2,2,IF(CdTrp2!L82=3,2,0)))</f>
        <v>0</v>
      </c>
      <c r="CM54" s="211">
        <f>IF(CdTrp2!M82=1,1,IF(CdTrp2!M82=2,2,IF(CdTrp2!M82=3,2,0)))</f>
        <v>0</v>
      </c>
      <c r="CN54" s="211">
        <f>IF(CdTrp2!N82=1,1,IF(CdTrp2!N82=2,2,IF(CdTrp2!N82=3,2,0)))</f>
        <v>0</v>
      </c>
      <c r="CO54" s="211">
        <f>IF(CdTrp2!O82=1,1,IF(CdTrp2!O82=2,2,IF(CdTrp2!O82=3,2,0)))</f>
        <v>0</v>
      </c>
      <c r="CP54" s="211">
        <f>IF(CdTrp2!P82=1,1,IF(CdTrp2!P82=2,2,IF(CdTrp2!P82=3,2,0)))</f>
        <v>0</v>
      </c>
      <c r="CQ54" s="211">
        <f>IF(CdTrp2!Q82=1,1,IF(CdTrp2!Q82=2,2,IF(CdTrp2!Q82=3,2,0)))</f>
        <v>0</v>
      </c>
      <c r="CR54" s="211">
        <f>IF(CdTrp2!R82=1,1,IF(CdTrp2!R82=2,2,IF(CdTrp2!R82=3,2,0)))</f>
        <v>0</v>
      </c>
      <c r="CS54" s="211">
        <f>IF(CdTrp2!S82=1,1,IF(CdTrp2!S82=2,2,IF(CdTrp2!S82=3,2,0)))</f>
        <v>0</v>
      </c>
      <c r="CT54" s="211">
        <f>IF(CdTrp2!T82=1,1,IF(CdTrp2!T82=2,2,IF(CdTrp2!T82=3,2,0)))</f>
        <v>0</v>
      </c>
      <c r="CU54" s="211">
        <f>IF(CdTrp2!U82=1,1,IF(CdTrp2!U82=2,2,IF(CdTrp2!U82=3,2,0)))</f>
        <v>0</v>
      </c>
      <c r="CV54" s="211">
        <f>IF(CdTrp2!V82=1,1,IF(CdTrp2!V82=2,2,IF(CdTrp2!V82=3,2,0)))</f>
        <v>0</v>
      </c>
      <c r="CW54" s="211">
        <f>IF(CdTrp2!W82=1,1,IF(CdTrp2!W82=2,2,IF(CdTrp2!W82=3,2,0)))</f>
        <v>0</v>
      </c>
      <c r="CX54" s="211">
        <f>IF(CdTrp2!X82=1,1,IF(CdTrp2!X82=2,2,IF(CdTrp2!X82=3,2,0)))</f>
        <v>0</v>
      </c>
      <c r="CY54" s="211">
        <f>IF(CdTrp2!Y82=1,1,IF(CdTrp2!Y82=2,2,IF(CdTrp2!Y82=3,2,0)))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IF(CdTrp3!B82=1,1,IF(CdTrp3!B82=2,2,IF(CdTrp3!B82=3,2,0)))</f>
        <v>0</v>
      </c>
      <c r="DF54" s="215">
        <f>IF(CdTrp3!C82=1,1,IF(CdTrp3!C82=2,2,IF(CdTrp3!C82=3,2,0)))</f>
        <v>0</v>
      </c>
      <c r="DG54" s="215">
        <f>IF(CdTrp3!D82=1,1,IF(CdTrp3!D82=2,2,IF(CdTrp3!D82=3,2,0)))</f>
        <v>0</v>
      </c>
      <c r="DH54" s="215">
        <f>IF(CdTrp3!E82=1,1,IF(CdTrp3!E82=2,2,IF(CdTrp3!E82=3,2,0)))</f>
        <v>0</v>
      </c>
      <c r="DI54" s="215">
        <f>IF(CdTrp3!F82=1,1,IF(CdTrp3!F82=2,2,IF(CdTrp3!F82=3,2,0)))</f>
        <v>0</v>
      </c>
      <c r="DJ54" s="215">
        <f>IF(CdTrp3!G82=1,1,IF(CdTrp3!G82=2,2,IF(CdTrp3!G82=3,2,0)))</f>
        <v>0</v>
      </c>
      <c r="DK54" s="215">
        <f>IF(CdTrp3!H82=1,1,IF(CdTrp3!H82=2,2,IF(CdTrp3!H82=3,2,0)))</f>
        <v>0</v>
      </c>
      <c r="DL54" s="215">
        <f>IF(CdTrp3!I82=1,1,IF(CdTrp3!I82=2,2,IF(CdTrp3!I82=3,2,0)))</f>
        <v>0</v>
      </c>
      <c r="DM54" s="215">
        <f>IF(CdTrp3!J82=1,1,IF(CdTrp3!J82=2,2,IF(CdTrp3!J82=3,2,0)))</f>
        <v>0</v>
      </c>
      <c r="DN54" s="215">
        <f>IF(CdTrp3!K82=1,1,IF(CdTrp3!K82=2,2,IF(CdTrp3!K82=3,2,0)))</f>
        <v>0</v>
      </c>
      <c r="DO54" s="215">
        <f>IF(CdTrp3!L82=1,1,IF(CdTrp3!L82=2,2,IF(CdTrp3!L82=3,2,0)))</f>
        <v>0</v>
      </c>
      <c r="DP54" s="215">
        <f>IF(CdTrp3!M82=1,1,IF(CdTrp3!M82=2,2,IF(CdTrp3!M82=3,2,0)))</f>
        <v>0</v>
      </c>
      <c r="DQ54" s="215">
        <f>IF(CdTrp3!N82=1,1,IF(CdTrp3!N82=2,2,IF(CdTrp3!N82=3,2,0)))</f>
        <v>0</v>
      </c>
      <c r="DR54" s="215">
        <f>IF(CdTrp3!O82=1,1,IF(CdTrp3!O82=2,2,IF(CdTrp3!O82=3,2,0)))</f>
        <v>0</v>
      </c>
      <c r="DS54" s="215">
        <f>IF(CdTrp3!P82=1,1,IF(CdTrp3!P82=2,2,IF(CdTrp3!P82=3,2,0)))</f>
        <v>0</v>
      </c>
      <c r="DT54" s="215">
        <f>IF(CdTrp3!Q82=1,1,IF(CdTrp3!Q82=2,2,IF(CdTrp3!Q82=3,2,0)))</f>
        <v>0</v>
      </c>
      <c r="DU54" s="215">
        <f>IF(CdTrp3!R82=1,1,IF(CdTrp3!R82=2,2,IF(CdTrp3!R82=3,2,0)))</f>
        <v>0</v>
      </c>
      <c r="DV54" s="215">
        <f>IF(CdTrp3!S82=1,1,IF(CdTrp3!S82=2,2,IF(CdTrp3!S82=3,2,0)))</f>
        <v>0</v>
      </c>
      <c r="DW54" s="215">
        <f>IF(CdTrp3!T82=1,1,IF(CdTrp3!T82=2,2,IF(CdTrp3!T82=3,2,0)))</f>
        <v>0</v>
      </c>
      <c r="DX54" s="215">
        <f>IF(CdTrp3!U82=1,1,IF(CdTrp3!U82=2,2,IF(CdTrp3!U82=3,2,0)))</f>
        <v>0</v>
      </c>
      <c r="DY54" s="215">
        <f>IF(CdTrp3!V82=1,1,IF(CdTrp3!V82=2,2,IF(CdTrp3!V82=3,2,0)))</f>
        <v>0</v>
      </c>
      <c r="DZ54" s="215">
        <f>IF(CdTrp3!W82=1,1,IF(CdTrp3!W82=2,2,IF(CdTrp3!W82=3,2,0)))</f>
        <v>0</v>
      </c>
      <c r="EA54" s="215">
        <f>IF(CdTrp3!X82=1,1,IF(CdTrp3!X82=2,2,IF(CdTrp3!X82=3,2,0)))</f>
        <v>0</v>
      </c>
      <c r="EB54" s="215">
        <f>IF(CdTrp3!Y82=1,1,IF(CdTrp3!Y82=2,2,IF(CdTrp3!Y82=3,2,0)))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1032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IF(CdTrp1!B83=1,1,IF(CdTrp1!B83=2,2,IF(CdTrp1!B83=3,2,0)))</f>
        <v>0</v>
      </c>
      <c r="AW55" s="215">
        <f>IF(CdTrp1!C83=1,1,IF(CdTrp1!C83=2,2,IF(CdTrp1!C83=3,2,0)))</f>
        <v>0</v>
      </c>
      <c r="AX55" s="215">
        <f>IF(CdTrp1!D83=1,1,IF(CdTrp1!D83=2,2,IF(CdTrp1!D83=3,2,0)))</f>
        <v>0</v>
      </c>
      <c r="AY55" s="215">
        <f>IF(CdTrp1!E83=1,1,IF(CdTrp1!E83=2,2,IF(CdTrp1!E83=3,2,0)))</f>
        <v>0</v>
      </c>
      <c r="AZ55" s="215">
        <f>IF(CdTrp1!F83=1,1,IF(CdTrp1!F83=2,2,IF(CdTrp1!F83=3,2,0)))</f>
        <v>0</v>
      </c>
      <c r="BA55" s="215">
        <f>IF(CdTrp1!G83=1,1,IF(CdTrp1!G83=2,2,IF(CdTrp1!G83=3,2,0)))</f>
        <v>0</v>
      </c>
      <c r="BB55" s="215">
        <f>IF(CdTrp1!H83=1,1,IF(CdTrp1!H83=2,2,IF(CdTrp1!H83=3,2,0)))</f>
        <v>0</v>
      </c>
      <c r="BC55" s="215">
        <f>IF(CdTrp1!I83=1,1,IF(CdTrp1!I83=2,2,IF(CdTrp1!I83=3,2,0)))</f>
        <v>0</v>
      </c>
      <c r="BD55" s="215">
        <f>IF(CdTrp1!J83=1,1,IF(CdTrp1!J83=2,2,IF(CdTrp1!J83=3,2,0)))</f>
        <v>0</v>
      </c>
      <c r="BE55" s="215">
        <f>IF(CdTrp1!K83=1,1,IF(CdTrp1!K83=2,2,IF(CdTrp1!K83=3,2,0)))</f>
        <v>0</v>
      </c>
      <c r="BF55" s="215">
        <f>IF(CdTrp1!L83=1,1,IF(CdTrp1!L83=2,2,IF(CdTrp1!L83=3,2,0)))</f>
        <v>0</v>
      </c>
      <c r="BG55" s="215">
        <f>IF(CdTrp1!M83=1,1,IF(CdTrp1!M83=2,2,IF(CdTrp1!M83=3,2,0)))</f>
        <v>0</v>
      </c>
      <c r="BH55" s="215">
        <f>IF(CdTrp1!N83=1,1,IF(CdTrp1!N83=2,2,IF(CdTrp1!N83=3,2,0)))</f>
        <v>0</v>
      </c>
      <c r="BI55" s="215">
        <f>IF(CdTrp1!O83=1,1,IF(CdTrp1!O83=2,2,IF(CdTrp1!O83=3,2,0)))</f>
        <v>0</v>
      </c>
      <c r="BJ55" s="215">
        <f>IF(CdTrp1!P83=1,1,IF(CdTrp1!P83=2,2,IF(CdTrp1!P83=3,2,0)))</f>
        <v>0</v>
      </c>
      <c r="BK55" s="215">
        <f>IF(CdTrp1!Q83=1,1,IF(CdTrp1!Q83=2,2,IF(CdTrp1!Q83=3,2,0)))</f>
        <v>0</v>
      </c>
      <c r="BL55" s="215">
        <f>IF(CdTrp1!R83=1,1,IF(CdTrp1!R83=2,2,IF(CdTrp1!R83=3,2,0)))</f>
        <v>0</v>
      </c>
      <c r="BM55" s="215">
        <f>IF(CdTrp1!S83=1,1,IF(CdTrp1!S83=2,2,IF(CdTrp1!S83=3,2,0)))</f>
        <v>0</v>
      </c>
      <c r="BN55" s="215">
        <f>IF(CdTrp1!T83=1,1,IF(CdTrp1!T83=2,2,IF(CdTrp1!T83=3,2,0)))</f>
        <v>0</v>
      </c>
      <c r="BO55" s="215">
        <f>IF(CdTrp1!U83=1,1,IF(CdTrp1!U83=2,2,IF(CdTrp1!U83=3,2,0)))</f>
        <v>0</v>
      </c>
      <c r="BP55" s="215">
        <f>IF(CdTrp1!V83=1,1,IF(CdTrp1!V83=2,2,IF(CdTrp1!V83=3,2,0)))</f>
        <v>0</v>
      </c>
      <c r="BQ55" s="215">
        <f>IF(CdTrp1!W83=1,1,IF(CdTrp1!W83=2,2,IF(CdTrp1!W83=3,2,0)))</f>
        <v>0</v>
      </c>
      <c r="BR55" s="215">
        <f>IF(CdTrp1!X83=1,1,IF(CdTrp1!X83=2,2,IF(CdTrp1!X83=3,2,0)))</f>
        <v>0</v>
      </c>
      <c r="BS55" s="215">
        <f>IF(CdTrp1!Y83=1,1,IF(CdTrp1!Y83=2,2,IF(CdTrp1!Y83=3,2,0)))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IF(CdTrp2!B83=1,1,IF(CdTrp2!B83=2,2,IF(CdTrp2!B83=3,2,0)))</f>
        <v>0</v>
      </c>
      <c r="CC55" s="211">
        <f>IF(CdTrp2!C83=1,1,IF(CdTrp2!C83=2,2,IF(CdTrp2!C83=3,2,0)))</f>
        <v>0</v>
      </c>
      <c r="CD55" s="211">
        <f>IF(CdTrp2!D83=1,1,IF(CdTrp2!D83=2,2,IF(CdTrp2!D83=3,2,0)))</f>
        <v>0</v>
      </c>
      <c r="CE55" s="211">
        <f>IF(CdTrp2!E83=1,1,IF(CdTrp2!E83=2,2,IF(CdTrp2!E83=3,2,0)))</f>
        <v>0</v>
      </c>
      <c r="CF55" s="211">
        <f>IF(CdTrp2!F83=1,1,IF(CdTrp2!F83=2,2,IF(CdTrp2!F83=3,2,0)))</f>
        <v>0</v>
      </c>
      <c r="CG55" s="211">
        <f>IF(CdTrp2!G83=1,1,IF(CdTrp2!G83=2,2,IF(CdTrp2!G83=3,2,0)))</f>
        <v>0</v>
      </c>
      <c r="CH55" s="211">
        <f>IF(CdTrp2!H83=1,1,IF(CdTrp2!H83=2,2,IF(CdTrp2!H83=3,2,0)))</f>
        <v>0</v>
      </c>
      <c r="CI55" s="211">
        <f>IF(CdTrp2!I83=1,1,IF(CdTrp2!I83=2,2,IF(CdTrp2!I83=3,2,0)))</f>
        <v>0</v>
      </c>
      <c r="CJ55" s="211">
        <f>IF(CdTrp2!J83=1,1,IF(CdTrp2!J83=2,2,IF(CdTrp2!J83=3,2,0)))</f>
        <v>0</v>
      </c>
      <c r="CK55" s="211">
        <f>IF(CdTrp2!K83=1,1,IF(CdTrp2!K83=2,2,IF(CdTrp2!K83=3,2,0)))</f>
        <v>0</v>
      </c>
      <c r="CL55" s="211">
        <f>IF(CdTrp2!L83=1,1,IF(CdTrp2!L83=2,2,IF(CdTrp2!L83=3,2,0)))</f>
        <v>0</v>
      </c>
      <c r="CM55" s="211">
        <f>IF(CdTrp2!M83=1,1,IF(CdTrp2!M83=2,2,IF(CdTrp2!M83=3,2,0)))</f>
        <v>0</v>
      </c>
      <c r="CN55" s="211">
        <f>IF(CdTrp2!N83=1,1,IF(CdTrp2!N83=2,2,IF(CdTrp2!N83=3,2,0)))</f>
        <v>0</v>
      </c>
      <c r="CO55" s="211">
        <f>IF(CdTrp2!O83=1,1,IF(CdTrp2!O83=2,2,IF(CdTrp2!O83=3,2,0)))</f>
        <v>0</v>
      </c>
      <c r="CP55" s="211">
        <f>IF(CdTrp2!P83=1,1,IF(CdTrp2!P83=2,2,IF(CdTrp2!P83=3,2,0)))</f>
        <v>0</v>
      </c>
      <c r="CQ55" s="211">
        <f>IF(CdTrp2!Q83=1,1,IF(CdTrp2!Q83=2,2,IF(CdTrp2!Q83=3,2,0)))</f>
        <v>0</v>
      </c>
      <c r="CR55" s="211">
        <f>IF(CdTrp2!R83=1,1,IF(CdTrp2!R83=2,2,IF(CdTrp2!R83=3,2,0)))</f>
        <v>0</v>
      </c>
      <c r="CS55" s="211">
        <f>IF(CdTrp2!S83=1,1,IF(CdTrp2!S83=2,2,IF(CdTrp2!S83=3,2,0)))</f>
        <v>0</v>
      </c>
      <c r="CT55" s="211">
        <f>IF(CdTrp2!T83=1,1,IF(CdTrp2!T83=2,2,IF(CdTrp2!T83=3,2,0)))</f>
        <v>0</v>
      </c>
      <c r="CU55" s="211">
        <f>IF(CdTrp2!U83=1,1,IF(CdTrp2!U83=2,2,IF(CdTrp2!U83=3,2,0)))</f>
        <v>0</v>
      </c>
      <c r="CV55" s="211">
        <f>IF(CdTrp2!V83=1,1,IF(CdTrp2!V83=2,2,IF(CdTrp2!V83=3,2,0)))</f>
        <v>0</v>
      </c>
      <c r="CW55" s="211">
        <f>IF(CdTrp2!W83=1,1,IF(CdTrp2!W83=2,2,IF(CdTrp2!W83=3,2,0)))</f>
        <v>0</v>
      </c>
      <c r="CX55" s="211">
        <f>IF(CdTrp2!X83=1,1,IF(CdTrp2!X83=2,2,IF(CdTrp2!X83=3,2,0)))</f>
        <v>0</v>
      </c>
      <c r="CY55" s="211">
        <f>IF(CdTrp2!Y83=1,1,IF(CdTrp2!Y83=2,2,IF(CdTrp2!Y83=3,2,0)))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IF(CdTrp3!B83=1,1,IF(CdTrp3!B83=2,2,IF(CdTrp3!B83=3,2,0)))</f>
        <v>0</v>
      </c>
      <c r="DF55" s="215">
        <f>IF(CdTrp3!C83=1,1,IF(CdTrp3!C83=2,2,IF(CdTrp3!C83=3,2,0)))</f>
        <v>0</v>
      </c>
      <c r="DG55" s="215">
        <f>IF(CdTrp3!D83=1,1,IF(CdTrp3!D83=2,2,IF(CdTrp3!D83=3,2,0)))</f>
        <v>0</v>
      </c>
      <c r="DH55" s="215">
        <f>IF(CdTrp3!E83=1,1,IF(CdTrp3!E83=2,2,IF(CdTrp3!E83=3,2,0)))</f>
        <v>0</v>
      </c>
      <c r="DI55" s="215">
        <f>IF(CdTrp3!F83=1,1,IF(CdTrp3!F83=2,2,IF(CdTrp3!F83=3,2,0)))</f>
        <v>0</v>
      </c>
      <c r="DJ55" s="215">
        <f>IF(CdTrp3!G83=1,1,IF(CdTrp3!G83=2,2,IF(CdTrp3!G83=3,2,0)))</f>
        <v>0</v>
      </c>
      <c r="DK55" s="215">
        <f>IF(CdTrp3!H83=1,1,IF(CdTrp3!H83=2,2,IF(CdTrp3!H83=3,2,0)))</f>
        <v>0</v>
      </c>
      <c r="DL55" s="215">
        <f>IF(CdTrp3!I83=1,1,IF(CdTrp3!I83=2,2,IF(CdTrp3!I83=3,2,0)))</f>
        <v>0</v>
      </c>
      <c r="DM55" s="215">
        <f>IF(CdTrp3!J83=1,1,IF(CdTrp3!J83=2,2,IF(CdTrp3!J83=3,2,0)))</f>
        <v>0</v>
      </c>
      <c r="DN55" s="215">
        <f>IF(CdTrp3!K83=1,1,IF(CdTrp3!K83=2,2,IF(CdTrp3!K83=3,2,0)))</f>
        <v>0</v>
      </c>
      <c r="DO55" s="215">
        <f>IF(CdTrp3!L83=1,1,IF(CdTrp3!L83=2,2,IF(CdTrp3!L83=3,2,0)))</f>
        <v>0</v>
      </c>
      <c r="DP55" s="215">
        <f>IF(CdTrp3!M83=1,1,IF(CdTrp3!M83=2,2,IF(CdTrp3!M83=3,2,0)))</f>
        <v>0</v>
      </c>
      <c r="DQ55" s="215">
        <f>IF(CdTrp3!N83=1,1,IF(CdTrp3!N83=2,2,IF(CdTrp3!N83=3,2,0)))</f>
        <v>0</v>
      </c>
      <c r="DR55" s="215">
        <f>IF(CdTrp3!O83=1,1,IF(CdTrp3!O83=2,2,IF(CdTrp3!O83=3,2,0)))</f>
        <v>0</v>
      </c>
      <c r="DS55" s="215">
        <f>IF(CdTrp3!P83=1,1,IF(CdTrp3!P83=2,2,IF(CdTrp3!P83=3,2,0)))</f>
        <v>0</v>
      </c>
      <c r="DT55" s="215">
        <f>IF(CdTrp3!Q83=1,1,IF(CdTrp3!Q83=2,2,IF(CdTrp3!Q83=3,2,0)))</f>
        <v>0</v>
      </c>
      <c r="DU55" s="215">
        <f>IF(CdTrp3!R83=1,1,IF(CdTrp3!R83=2,2,IF(CdTrp3!R83=3,2,0)))</f>
        <v>0</v>
      </c>
      <c r="DV55" s="215">
        <f>IF(CdTrp3!S83=1,1,IF(CdTrp3!S83=2,2,IF(CdTrp3!S83=3,2,0)))</f>
        <v>0</v>
      </c>
      <c r="DW55" s="215">
        <f>IF(CdTrp3!T83=1,1,IF(CdTrp3!T83=2,2,IF(CdTrp3!T83=3,2,0)))</f>
        <v>0</v>
      </c>
      <c r="DX55" s="215">
        <f>IF(CdTrp3!U83=1,1,IF(CdTrp3!U83=2,2,IF(CdTrp3!U83=3,2,0)))</f>
        <v>0</v>
      </c>
      <c r="DY55" s="215">
        <f>IF(CdTrp3!V83=1,1,IF(CdTrp3!V83=2,2,IF(CdTrp3!V83=3,2,0)))</f>
        <v>0</v>
      </c>
      <c r="DZ55" s="215">
        <f>IF(CdTrp3!W83=1,1,IF(CdTrp3!W83=2,2,IF(CdTrp3!W83=3,2,0)))</f>
        <v>0</v>
      </c>
      <c r="EA55" s="215">
        <f>IF(CdTrp3!X83=1,1,IF(CdTrp3!X83=2,2,IF(CdTrp3!X83=3,2,0)))</f>
        <v>0</v>
      </c>
      <c r="EB55" s="215">
        <f>IF(CdTrp3!Y83=1,1,IF(CdTrp3!Y83=2,2,IF(CdTrp3!Y83=3,2,0)))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8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IF(CdTrp1!B84=1,1,IF(CdTrp1!B84=2,2,IF(CdTrp1!B84=3,2,0)))</f>
        <v>0</v>
      </c>
      <c r="AW56" s="215">
        <f>IF(CdTrp1!C84=1,1,IF(CdTrp1!C84=2,2,IF(CdTrp1!C84=3,2,0)))</f>
        <v>0</v>
      </c>
      <c r="AX56" s="215">
        <f>IF(CdTrp1!D84=1,1,IF(CdTrp1!D84=2,2,IF(CdTrp1!D84=3,2,0)))</f>
        <v>0</v>
      </c>
      <c r="AY56" s="215">
        <f>IF(CdTrp1!E84=1,1,IF(CdTrp1!E84=2,2,IF(CdTrp1!E84=3,2,0)))</f>
        <v>0</v>
      </c>
      <c r="AZ56" s="215">
        <f>IF(CdTrp1!F84=1,1,IF(CdTrp1!F84=2,2,IF(CdTrp1!F84=3,2,0)))</f>
        <v>0</v>
      </c>
      <c r="BA56" s="215">
        <f>IF(CdTrp1!G84=1,1,IF(CdTrp1!G84=2,2,IF(CdTrp1!G84=3,2,0)))</f>
        <v>0</v>
      </c>
      <c r="BB56" s="215">
        <f>IF(CdTrp1!H84=1,1,IF(CdTrp1!H84=2,2,IF(CdTrp1!H84=3,2,0)))</f>
        <v>0</v>
      </c>
      <c r="BC56" s="215">
        <f>IF(CdTrp1!I84=1,1,IF(CdTrp1!I84=2,2,IF(CdTrp1!I84=3,2,0)))</f>
        <v>0</v>
      </c>
      <c r="BD56" s="215">
        <f>IF(CdTrp1!J84=1,1,IF(CdTrp1!J84=2,2,IF(CdTrp1!J84=3,2,0)))</f>
        <v>0</v>
      </c>
      <c r="BE56" s="215">
        <f>IF(CdTrp1!K84=1,1,IF(CdTrp1!K84=2,2,IF(CdTrp1!K84=3,2,0)))</f>
        <v>0</v>
      </c>
      <c r="BF56" s="215">
        <f>IF(CdTrp1!L84=1,1,IF(CdTrp1!L84=2,2,IF(CdTrp1!L84=3,2,0)))</f>
        <v>0</v>
      </c>
      <c r="BG56" s="215">
        <f>IF(CdTrp1!M84=1,1,IF(CdTrp1!M84=2,2,IF(CdTrp1!M84=3,2,0)))</f>
        <v>0</v>
      </c>
      <c r="BH56" s="215">
        <f>IF(CdTrp1!N84=1,1,IF(CdTrp1!N84=2,2,IF(CdTrp1!N84=3,2,0)))</f>
        <v>0</v>
      </c>
      <c r="BI56" s="215">
        <f>IF(CdTrp1!O84=1,1,IF(CdTrp1!O84=2,2,IF(CdTrp1!O84=3,2,0)))</f>
        <v>0</v>
      </c>
      <c r="BJ56" s="215">
        <f>IF(CdTrp1!P84=1,1,IF(CdTrp1!P84=2,2,IF(CdTrp1!P84=3,2,0)))</f>
        <v>0</v>
      </c>
      <c r="BK56" s="215">
        <f>IF(CdTrp1!Q84=1,1,IF(CdTrp1!Q84=2,2,IF(CdTrp1!Q84=3,2,0)))</f>
        <v>0</v>
      </c>
      <c r="BL56" s="215">
        <f>IF(CdTrp1!R84=1,1,IF(CdTrp1!R84=2,2,IF(CdTrp1!R84=3,2,0)))</f>
        <v>0</v>
      </c>
      <c r="BM56" s="215">
        <f>IF(CdTrp1!S84=1,1,IF(CdTrp1!S84=2,2,IF(CdTrp1!S84=3,2,0)))</f>
        <v>0</v>
      </c>
      <c r="BN56" s="215">
        <f>IF(CdTrp1!T84=1,1,IF(CdTrp1!T84=2,2,IF(CdTrp1!T84=3,2,0)))</f>
        <v>0</v>
      </c>
      <c r="BO56" s="215">
        <f>IF(CdTrp1!U84=1,1,IF(CdTrp1!U84=2,2,IF(CdTrp1!U84=3,2,0)))</f>
        <v>0</v>
      </c>
      <c r="BP56" s="215">
        <f>IF(CdTrp1!V84=1,1,IF(CdTrp1!V84=2,2,IF(CdTrp1!V84=3,2,0)))</f>
        <v>0</v>
      </c>
      <c r="BQ56" s="215">
        <f>IF(CdTrp1!W84=1,1,IF(CdTrp1!W84=2,2,IF(CdTrp1!W84=3,2,0)))</f>
        <v>0</v>
      </c>
      <c r="BR56" s="215">
        <f>IF(CdTrp1!X84=1,1,IF(CdTrp1!X84=2,2,IF(CdTrp1!X84=3,2,0)))</f>
        <v>0</v>
      </c>
      <c r="BS56" s="215">
        <f>IF(CdTrp1!Y84=1,1,IF(CdTrp1!Y84=2,2,IF(CdTrp1!Y84=3,2,0)))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IF(CdTrp2!B84=1,1,IF(CdTrp2!B84=2,2,IF(CdTrp2!B84=3,2,0)))</f>
        <v>0</v>
      </c>
      <c r="CC56" s="211">
        <f>IF(CdTrp2!C84=1,1,IF(CdTrp2!C84=2,2,IF(CdTrp2!C84=3,2,0)))</f>
        <v>0</v>
      </c>
      <c r="CD56" s="211">
        <f>IF(CdTrp2!D84=1,1,IF(CdTrp2!D84=2,2,IF(CdTrp2!D84=3,2,0)))</f>
        <v>0</v>
      </c>
      <c r="CE56" s="211">
        <f>IF(CdTrp2!E84=1,1,IF(CdTrp2!E84=2,2,IF(CdTrp2!E84=3,2,0)))</f>
        <v>0</v>
      </c>
      <c r="CF56" s="211">
        <f>IF(CdTrp2!F84=1,1,IF(CdTrp2!F84=2,2,IF(CdTrp2!F84=3,2,0)))</f>
        <v>0</v>
      </c>
      <c r="CG56" s="211">
        <f>IF(CdTrp2!G84=1,1,IF(CdTrp2!G84=2,2,IF(CdTrp2!G84=3,2,0)))</f>
        <v>0</v>
      </c>
      <c r="CH56" s="211">
        <f>IF(CdTrp2!H84=1,1,IF(CdTrp2!H84=2,2,IF(CdTrp2!H84=3,2,0)))</f>
        <v>0</v>
      </c>
      <c r="CI56" s="211">
        <f>IF(CdTrp2!I84=1,1,IF(CdTrp2!I84=2,2,IF(CdTrp2!I84=3,2,0)))</f>
        <v>0</v>
      </c>
      <c r="CJ56" s="211">
        <f>IF(CdTrp2!J84=1,1,IF(CdTrp2!J84=2,2,IF(CdTrp2!J84=3,2,0)))</f>
        <v>0</v>
      </c>
      <c r="CK56" s="211">
        <f>IF(CdTrp2!K84=1,1,IF(CdTrp2!K84=2,2,IF(CdTrp2!K84=3,2,0)))</f>
        <v>0</v>
      </c>
      <c r="CL56" s="211">
        <f>IF(CdTrp2!L84=1,1,IF(CdTrp2!L84=2,2,IF(CdTrp2!L84=3,2,0)))</f>
        <v>0</v>
      </c>
      <c r="CM56" s="211">
        <f>IF(CdTrp2!M84=1,1,IF(CdTrp2!M84=2,2,IF(CdTrp2!M84=3,2,0)))</f>
        <v>0</v>
      </c>
      <c r="CN56" s="211">
        <f>IF(CdTrp2!N84=1,1,IF(CdTrp2!N84=2,2,IF(CdTrp2!N84=3,2,0)))</f>
        <v>0</v>
      </c>
      <c r="CO56" s="211">
        <f>IF(CdTrp2!O84=1,1,IF(CdTrp2!O84=2,2,IF(CdTrp2!O84=3,2,0)))</f>
        <v>0</v>
      </c>
      <c r="CP56" s="211">
        <f>IF(CdTrp2!P84=1,1,IF(CdTrp2!P84=2,2,IF(CdTrp2!P84=3,2,0)))</f>
        <v>0</v>
      </c>
      <c r="CQ56" s="211">
        <f>IF(CdTrp2!Q84=1,1,IF(CdTrp2!Q84=2,2,IF(CdTrp2!Q84=3,2,0)))</f>
        <v>0</v>
      </c>
      <c r="CR56" s="211">
        <f>IF(CdTrp2!R84=1,1,IF(CdTrp2!R84=2,2,IF(CdTrp2!R84=3,2,0)))</f>
        <v>0</v>
      </c>
      <c r="CS56" s="211">
        <f>IF(CdTrp2!S84=1,1,IF(CdTrp2!S84=2,2,IF(CdTrp2!S84=3,2,0)))</f>
        <v>0</v>
      </c>
      <c r="CT56" s="211">
        <f>IF(CdTrp2!T84=1,1,IF(CdTrp2!T84=2,2,IF(CdTrp2!T84=3,2,0)))</f>
        <v>0</v>
      </c>
      <c r="CU56" s="211">
        <f>IF(CdTrp2!U84=1,1,IF(CdTrp2!U84=2,2,IF(CdTrp2!U84=3,2,0)))</f>
        <v>0</v>
      </c>
      <c r="CV56" s="211">
        <f>IF(CdTrp2!V84=1,1,IF(CdTrp2!V84=2,2,IF(CdTrp2!V84=3,2,0)))</f>
        <v>0</v>
      </c>
      <c r="CW56" s="211">
        <f>IF(CdTrp2!W84=1,1,IF(CdTrp2!W84=2,2,IF(CdTrp2!W84=3,2,0)))</f>
        <v>0</v>
      </c>
      <c r="CX56" s="211">
        <f>IF(CdTrp2!X84=1,1,IF(CdTrp2!X84=2,2,IF(CdTrp2!X84=3,2,0)))</f>
        <v>0</v>
      </c>
      <c r="CY56" s="211">
        <f>IF(CdTrp2!Y84=1,1,IF(CdTrp2!Y84=2,2,IF(CdTrp2!Y84=3,2,0)))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IF(CdTrp3!B84=1,1,IF(CdTrp3!B84=2,2,IF(CdTrp3!B84=3,2,0)))</f>
        <v>0</v>
      </c>
      <c r="DF56" s="215">
        <f>IF(CdTrp3!C84=1,1,IF(CdTrp3!C84=2,2,IF(CdTrp3!C84=3,2,0)))</f>
        <v>0</v>
      </c>
      <c r="DG56" s="215">
        <f>IF(CdTrp3!D84=1,1,IF(CdTrp3!D84=2,2,IF(CdTrp3!D84=3,2,0)))</f>
        <v>0</v>
      </c>
      <c r="DH56" s="215">
        <f>IF(CdTrp3!E84=1,1,IF(CdTrp3!E84=2,2,IF(CdTrp3!E84=3,2,0)))</f>
        <v>0</v>
      </c>
      <c r="DI56" s="215">
        <f>IF(CdTrp3!F84=1,1,IF(CdTrp3!F84=2,2,IF(CdTrp3!F84=3,2,0)))</f>
        <v>0</v>
      </c>
      <c r="DJ56" s="215">
        <f>IF(CdTrp3!G84=1,1,IF(CdTrp3!G84=2,2,IF(CdTrp3!G84=3,2,0)))</f>
        <v>0</v>
      </c>
      <c r="DK56" s="215">
        <f>IF(CdTrp3!H84=1,1,IF(CdTrp3!H84=2,2,IF(CdTrp3!H84=3,2,0)))</f>
        <v>0</v>
      </c>
      <c r="DL56" s="215">
        <f>IF(CdTrp3!I84=1,1,IF(CdTrp3!I84=2,2,IF(CdTrp3!I84=3,2,0)))</f>
        <v>0</v>
      </c>
      <c r="DM56" s="215">
        <f>IF(CdTrp3!J84=1,1,IF(CdTrp3!J84=2,2,IF(CdTrp3!J84=3,2,0)))</f>
        <v>0</v>
      </c>
      <c r="DN56" s="215">
        <f>IF(CdTrp3!K84=1,1,IF(CdTrp3!K84=2,2,IF(CdTrp3!K84=3,2,0)))</f>
        <v>0</v>
      </c>
      <c r="DO56" s="215">
        <f>IF(CdTrp3!L84=1,1,IF(CdTrp3!L84=2,2,IF(CdTrp3!L84=3,2,0)))</f>
        <v>0</v>
      </c>
      <c r="DP56" s="215">
        <f>IF(CdTrp3!M84=1,1,IF(CdTrp3!M84=2,2,IF(CdTrp3!M84=3,2,0)))</f>
        <v>0</v>
      </c>
      <c r="DQ56" s="215">
        <f>IF(CdTrp3!N84=1,1,IF(CdTrp3!N84=2,2,IF(CdTrp3!N84=3,2,0)))</f>
        <v>0</v>
      </c>
      <c r="DR56" s="215">
        <f>IF(CdTrp3!O84=1,1,IF(CdTrp3!O84=2,2,IF(CdTrp3!O84=3,2,0)))</f>
        <v>0</v>
      </c>
      <c r="DS56" s="215">
        <f>IF(CdTrp3!P84=1,1,IF(CdTrp3!P84=2,2,IF(CdTrp3!P84=3,2,0)))</f>
        <v>0</v>
      </c>
      <c r="DT56" s="215">
        <f>IF(CdTrp3!Q84=1,1,IF(CdTrp3!Q84=2,2,IF(CdTrp3!Q84=3,2,0)))</f>
        <v>0</v>
      </c>
      <c r="DU56" s="215">
        <f>IF(CdTrp3!R84=1,1,IF(CdTrp3!R84=2,2,IF(CdTrp3!R84=3,2,0)))</f>
        <v>0</v>
      </c>
      <c r="DV56" s="215">
        <f>IF(CdTrp3!S84=1,1,IF(CdTrp3!S84=2,2,IF(CdTrp3!S84=3,2,0)))</f>
        <v>0</v>
      </c>
      <c r="DW56" s="215">
        <f>IF(CdTrp3!T84=1,1,IF(CdTrp3!T84=2,2,IF(CdTrp3!T84=3,2,0)))</f>
        <v>0</v>
      </c>
      <c r="DX56" s="215">
        <f>IF(CdTrp3!U84=1,1,IF(CdTrp3!U84=2,2,IF(CdTrp3!U84=3,2,0)))</f>
        <v>0</v>
      </c>
      <c r="DY56" s="215">
        <f>IF(CdTrp3!V84=1,1,IF(CdTrp3!V84=2,2,IF(CdTrp3!V84=3,2,0)))</f>
        <v>0</v>
      </c>
      <c r="DZ56" s="215">
        <f>IF(CdTrp3!W84=1,1,IF(CdTrp3!W84=2,2,IF(CdTrp3!W84=3,2,0)))</f>
        <v>0</v>
      </c>
      <c r="EA56" s="215">
        <f>IF(CdTrp3!X84=1,1,IF(CdTrp3!X84=2,2,IF(CdTrp3!X84=3,2,0)))</f>
        <v>0</v>
      </c>
      <c r="EB56" s="215">
        <f>IF(CdTrp3!Y84=1,1,IF(CdTrp3!Y84=2,2,IF(CdTrp3!Y84=3,2,0)))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5">
        <f>IF(CdTrp1!B85=1,1,IF(CdTrp1!B85=2,2,IF(CdTrp1!B85=3,2,0)))</f>
        <v>0</v>
      </c>
      <c r="AW57" s="215">
        <f>IF(CdTrp1!C85=1,1,IF(CdTrp1!C85=2,2,IF(CdTrp1!C85=3,2,0)))</f>
        <v>0</v>
      </c>
      <c r="AX57" s="215">
        <f>IF(CdTrp1!D85=1,1,IF(CdTrp1!D85=2,2,IF(CdTrp1!D85=3,2,0)))</f>
        <v>0</v>
      </c>
      <c r="AY57" s="215">
        <f>IF(CdTrp1!E85=1,1,IF(CdTrp1!E85=2,2,IF(CdTrp1!E85=3,2,0)))</f>
        <v>0</v>
      </c>
      <c r="AZ57" s="215">
        <f>IF(CdTrp1!F85=1,1,IF(CdTrp1!F85=2,2,IF(CdTrp1!F85=3,2,0)))</f>
        <v>0</v>
      </c>
      <c r="BA57" s="215">
        <f>IF(CdTrp1!G85=1,1,IF(CdTrp1!G85=2,2,IF(CdTrp1!G85=3,2,0)))</f>
        <v>0</v>
      </c>
      <c r="BB57" s="215">
        <f>IF(CdTrp1!H85=1,1,IF(CdTrp1!H85=2,2,IF(CdTrp1!H85=3,2,0)))</f>
        <v>0</v>
      </c>
      <c r="BC57" s="215">
        <f>IF(CdTrp1!I85=1,1,IF(CdTrp1!I85=2,2,IF(CdTrp1!I85=3,2,0)))</f>
        <v>0</v>
      </c>
      <c r="BD57" s="215">
        <f>IF(CdTrp1!J85=1,1,IF(CdTrp1!J85=2,2,IF(CdTrp1!J85=3,2,0)))</f>
        <v>0</v>
      </c>
      <c r="BE57" s="215">
        <f>IF(CdTrp1!K85=1,1,IF(CdTrp1!K85=2,2,IF(CdTrp1!K85=3,2,0)))</f>
        <v>0</v>
      </c>
      <c r="BF57" s="215">
        <f>IF(CdTrp1!L85=1,1,IF(CdTrp1!L85=2,2,IF(CdTrp1!L85=3,2,0)))</f>
        <v>0</v>
      </c>
      <c r="BG57" s="215">
        <f>IF(CdTrp1!M85=1,1,IF(CdTrp1!M85=2,2,IF(CdTrp1!M85=3,2,0)))</f>
        <v>0</v>
      </c>
      <c r="BH57" s="215">
        <f>IF(CdTrp1!N85=1,1,IF(CdTrp1!N85=2,2,IF(CdTrp1!N85=3,2,0)))</f>
        <v>0</v>
      </c>
      <c r="BI57" s="215">
        <f>IF(CdTrp1!O85=1,1,IF(CdTrp1!O85=2,2,IF(CdTrp1!O85=3,2,0)))</f>
        <v>0</v>
      </c>
      <c r="BJ57" s="215">
        <f>IF(CdTrp1!P85=1,1,IF(CdTrp1!P85=2,2,IF(CdTrp1!P85=3,2,0)))</f>
        <v>0</v>
      </c>
      <c r="BK57" s="215">
        <f>IF(CdTrp1!Q85=1,1,IF(CdTrp1!Q85=2,2,IF(CdTrp1!Q85=3,2,0)))</f>
        <v>0</v>
      </c>
      <c r="BL57" s="215">
        <f>IF(CdTrp1!R85=1,1,IF(CdTrp1!R85=2,2,IF(CdTrp1!R85=3,2,0)))</f>
        <v>0</v>
      </c>
      <c r="BM57" s="215">
        <f>IF(CdTrp1!S85=1,1,IF(CdTrp1!S85=2,2,IF(CdTrp1!S85=3,2,0)))</f>
        <v>0</v>
      </c>
      <c r="BN57" s="215">
        <f>IF(CdTrp1!T85=1,1,IF(CdTrp1!T85=2,2,IF(CdTrp1!T85=3,2,0)))</f>
        <v>0</v>
      </c>
      <c r="BO57" s="215">
        <f>IF(CdTrp1!U85=1,1,IF(CdTrp1!U85=2,2,IF(CdTrp1!U85=3,2,0)))</f>
        <v>0</v>
      </c>
      <c r="BP57" s="215">
        <f>IF(CdTrp1!V85=1,1,IF(CdTrp1!V85=2,2,IF(CdTrp1!V85=3,2,0)))</f>
        <v>0</v>
      </c>
      <c r="BQ57" s="215">
        <f>IF(CdTrp1!W85=1,1,IF(CdTrp1!W85=2,2,IF(CdTrp1!W85=3,2,0)))</f>
        <v>0</v>
      </c>
      <c r="BR57" s="215">
        <f>IF(CdTrp1!X85=1,1,IF(CdTrp1!X85=2,2,IF(CdTrp1!X85=3,2,0)))</f>
        <v>0</v>
      </c>
      <c r="BS57" s="215">
        <f>IF(CdTrp1!Y85=1,1,IF(CdTrp1!Y85=2,2,IF(CdTrp1!Y85=3,2,0)))</f>
        <v>0</v>
      </c>
      <c r="BT57" s="211"/>
      <c r="BU57" s="211"/>
      <c r="BV57" s="211"/>
      <c r="BW57" s="211"/>
      <c r="BX57" s="211"/>
      <c r="BY57" s="211"/>
      <c r="BZ57" s="211"/>
      <c r="CA57" s="211"/>
      <c r="CB57" s="211">
        <f>IF(CdTrp2!B85=1,1,IF(CdTrp2!B85=2,2,IF(CdTrp2!B85=3,2,0)))</f>
        <v>0</v>
      </c>
      <c r="CC57" s="211">
        <f>IF(CdTrp2!C85=1,1,IF(CdTrp2!C85=2,2,IF(CdTrp2!C85=3,2,0)))</f>
        <v>0</v>
      </c>
      <c r="CD57" s="211">
        <f>IF(CdTrp2!D85=1,1,IF(CdTrp2!D85=2,2,IF(CdTrp2!D85=3,2,0)))</f>
        <v>0</v>
      </c>
      <c r="CE57" s="211">
        <f>IF(CdTrp2!E85=1,1,IF(CdTrp2!E85=2,2,IF(CdTrp2!E85=3,2,0)))</f>
        <v>0</v>
      </c>
      <c r="CF57" s="211">
        <f>IF(CdTrp2!F85=1,1,IF(CdTrp2!F85=2,2,IF(CdTrp2!F85=3,2,0)))</f>
        <v>0</v>
      </c>
      <c r="CG57" s="211">
        <f>IF(CdTrp2!G85=1,1,IF(CdTrp2!G85=2,2,IF(CdTrp2!G85=3,2,0)))</f>
        <v>0</v>
      </c>
      <c r="CH57" s="211">
        <f>IF(CdTrp2!H85=1,1,IF(CdTrp2!H85=2,2,IF(CdTrp2!H85=3,2,0)))</f>
        <v>0</v>
      </c>
      <c r="CI57" s="211">
        <f>IF(CdTrp2!I85=1,1,IF(CdTrp2!I85=2,2,IF(CdTrp2!I85=3,2,0)))</f>
        <v>0</v>
      </c>
      <c r="CJ57" s="211">
        <f>IF(CdTrp2!J85=1,1,IF(CdTrp2!J85=2,2,IF(CdTrp2!J85=3,2,0)))</f>
        <v>0</v>
      </c>
      <c r="CK57" s="211">
        <f>IF(CdTrp2!K85=1,1,IF(CdTrp2!K85=2,2,IF(CdTrp2!K85=3,2,0)))</f>
        <v>0</v>
      </c>
      <c r="CL57" s="211">
        <f>IF(CdTrp2!L85=1,1,IF(CdTrp2!L85=2,2,IF(CdTrp2!L85=3,2,0)))</f>
        <v>0</v>
      </c>
      <c r="CM57" s="211">
        <f>IF(CdTrp2!M85=1,1,IF(CdTrp2!M85=2,2,IF(CdTrp2!M85=3,2,0)))</f>
        <v>0</v>
      </c>
      <c r="CN57" s="211">
        <f>IF(CdTrp2!N85=1,1,IF(CdTrp2!N85=2,2,IF(CdTrp2!N85=3,2,0)))</f>
        <v>0</v>
      </c>
      <c r="CO57" s="211">
        <f>IF(CdTrp2!O85=1,1,IF(CdTrp2!O85=2,2,IF(CdTrp2!O85=3,2,0)))</f>
        <v>0</v>
      </c>
      <c r="CP57" s="211">
        <f>IF(CdTrp2!P85=1,1,IF(CdTrp2!P85=2,2,IF(CdTrp2!P85=3,2,0)))</f>
        <v>0</v>
      </c>
      <c r="CQ57" s="211">
        <f>IF(CdTrp2!Q85=1,1,IF(CdTrp2!Q85=2,2,IF(CdTrp2!Q85=3,2,0)))</f>
        <v>0</v>
      </c>
      <c r="CR57" s="211">
        <f>IF(CdTrp2!R85=1,1,IF(CdTrp2!R85=2,2,IF(CdTrp2!R85=3,2,0)))</f>
        <v>0</v>
      </c>
      <c r="CS57" s="211">
        <f>IF(CdTrp2!S85=1,1,IF(CdTrp2!S85=2,2,IF(CdTrp2!S85=3,2,0)))</f>
        <v>0</v>
      </c>
      <c r="CT57" s="211">
        <f>IF(CdTrp2!T85=1,1,IF(CdTrp2!T85=2,2,IF(CdTrp2!T85=3,2,0)))</f>
        <v>0</v>
      </c>
      <c r="CU57" s="211">
        <f>IF(CdTrp2!U85=1,1,IF(CdTrp2!U85=2,2,IF(CdTrp2!U85=3,2,0)))</f>
        <v>0</v>
      </c>
      <c r="CV57" s="211">
        <f>IF(CdTrp2!V85=1,1,IF(CdTrp2!V85=2,2,IF(CdTrp2!V85=3,2,0)))</f>
        <v>0</v>
      </c>
      <c r="CW57" s="211">
        <f>IF(CdTrp2!W85=1,1,IF(CdTrp2!W85=2,2,IF(CdTrp2!W85=3,2,0)))</f>
        <v>0</v>
      </c>
      <c r="CX57" s="211">
        <f>IF(CdTrp2!X85=1,1,IF(CdTrp2!X85=2,2,IF(CdTrp2!X85=3,2,0)))</f>
        <v>0</v>
      </c>
      <c r="CY57" s="211">
        <f>IF(CdTrp2!Y85=1,1,IF(CdTrp2!Y85=2,2,IF(CdTrp2!Y85=3,2,0)))</f>
        <v>0</v>
      </c>
      <c r="CZ57" s="215"/>
      <c r="DA57" s="215"/>
      <c r="DB57" s="215"/>
      <c r="DC57" s="215"/>
      <c r="DD57" s="215"/>
      <c r="DE57" s="215">
        <f>IF(CdTrp3!B85=1,1,IF(CdTrp3!B85=2,2,IF(CdTrp3!B85=3,2,0)))</f>
        <v>0</v>
      </c>
      <c r="DF57" s="215">
        <f>IF(CdTrp3!C85=1,1,IF(CdTrp3!C85=2,2,IF(CdTrp3!C85=3,2,0)))</f>
        <v>0</v>
      </c>
      <c r="DG57" s="215">
        <f>IF(CdTrp3!D85=1,1,IF(CdTrp3!D85=2,2,IF(CdTrp3!D85=3,2,0)))</f>
        <v>0</v>
      </c>
      <c r="DH57" s="215">
        <f>IF(CdTrp3!E85=1,1,IF(CdTrp3!E85=2,2,IF(CdTrp3!E85=3,2,0)))</f>
        <v>0</v>
      </c>
      <c r="DI57" s="215">
        <f>IF(CdTrp3!F85=1,1,IF(CdTrp3!F85=2,2,IF(CdTrp3!F85=3,2,0)))</f>
        <v>0</v>
      </c>
      <c r="DJ57" s="215">
        <f>IF(CdTrp3!G85=1,1,IF(CdTrp3!G85=2,2,IF(CdTrp3!G85=3,2,0)))</f>
        <v>0</v>
      </c>
      <c r="DK57" s="215">
        <f>IF(CdTrp3!H85=1,1,IF(CdTrp3!H85=2,2,IF(CdTrp3!H85=3,2,0)))</f>
        <v>0</v>
      </c>
      <c r="DL57" s="215">
        <f>IF(CdTrp3!I85=1,1,IF(CdTrp3!I85=2,2,IF(CdTrp3!I85=3,2,0)))</f>
        <v>0</v>
      </c>
      <c r="DM57" s="215">
        <f>IF(CdTrp3!J85=1,1,IF(CdTrp3!J85=2,2,IF(CdTrp3!J85=3,2,0)))</f>
        <v>0</v>
      </c>
      <c r="DN57" s="215">
        <f>IF(CdTrp3!K85=1,1,IF(CdTrp3!K85=2,2,IF(CdTrp3!K85=3,2,0)))</f>
        <v>0</v>
      </c>
      <c r="DO57" s="215">
        <f>IF(CdTrp3!L85=1,1,IF(CdTrp3!L85=2,2,IF(CdTrp3!L85=3,2,0)))</f>
        <v>0</v>
      </c>
      <c r="DP57" s="215">
        <f>IF(CdTrp3!M85=1,1,IF(CdTrp3!M85=2,2,IF(CdTrp3!M85=3,2,0)))</f>
        <v>0</v>
      </c>
      <c r="DQ57" s="215">
        <f>IF(CdTrp3!N85=1,1,IF(CdTrp3!N85=2,2,IF(CdTrp3!N85=3,2,0)))</f>
        <v>0</v>
      </c>
      <c r="DR57" s="215">
        <f>IF(CdTrp3!O85=1,1,IF(CdTrp3!O85=2,2,IF(CdTrp3!O85=3,2,0)))</f>
        <v>0</v>
      </c>
      <c r="DS57" s="215">
        <f>IF(CdTrp3!P85=1,1,IF(CdTrp3!P85=2,2,IF(CdTrp3!P85=3,2,0)))</f>
        <v>0</v>
      </c>
      <c r="DT57" s="215">
        <f>IF(CdTrp3!Q85=1,1,IF(CdTrp3!Q85=2,2,IF(CdTrp3!Q85=3,2,0)))</f>
        <v>0</v>
      </c>
      <c r="DU57" s="215">
        <f>IF(CdTrp3!R85=1,1,IF(CdTrp3!R85=2,2,IF(CdTrp3!R85=3,2,0)))</f>
        <v>0</v>
      </c>
      <c r="DV57" s="215">
        <f>IF(CdTrp3!S85=1,1,IF(CdTrp3!S85=2,2,IF(CdTrp3!S85=3,2,0)))</f>
        <v>0</v>
      </c>
      <c r="DW57" s="215">
        <f>IF(CdTrp3!T85=1,1,IF(CdTrp3!T85=2,2,IF(CdTrp3!T85=3,2,0)))</f>
        <v>0</v>
      </c>
      <c r="DX57" s="215">
        <f>IF(CdTrp3!U85=1,1,IF(CdTrp3!U85=2,2,IF(CdTrp3!U85=3,2,0)))</f>
        <v>0</v>
      </c>
      <c r="DY57" s="215">
        <f>IF(CdTrp3!V85=1,1,IF(CdTrp3!V85=2,2,IF(CdTrp3!V85=3,2,0)))</f>
        <v>0</v>
      </c>
      <c r="DZ57" s="215">
        <f>IF(CdTrp3!W85=1,1,IF(CdTrp3!W85=2,2,IF(CdTrp3!W85=3,2,0)))</f>
        <v>0</v>
      </c>
      <c r="EA57" s="215">
        <f>IF(CdTrp3!X85=1,1,IF(CdTrp3!X85=2,2,IF(CdTrp3!X85=3,2,0)))</f>
        <v>0</v>
      </c>
      <c r="EB57" s="215">
        <f>IF(CdTrp3!Y85=1,1,IF(CdTrp3!Y85=2,2,IF(CdTrp3!Y85=3,2,0)))</f>
        <v>0</v>
      </c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1033</v>
      </c>
      <c r="AG58" s="211" t="str">
        <f>CdTrp1!A76</f>
        <v>Vaches suitées au pâturage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1033</v>
      </c>
      <c r="BH58" s="211" t="str">
        <f t="shared" ref="BH58:BH67" si="22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1033</v>
      </c>
      <c r="CJ58" s="211" t="str">
        <f t="shared" ref="CJ58:CJ67" si="23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1033</v>
      </c>
      <c r="DL58" s="211" t="str">
        <f t="shared" ref="DL58:DL67" si="24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8" t="str">
        <f>CdTrp1!A77</f>
        <v xml:space="preserve">Vaches lot principal 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>
        <f t="shared" si="22"/>
        <v>0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>
        <f t="shared" si="23"/>
        <v>0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>
        <f t="shared" si="24"/>
        <v>0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8" t="str">
        <f>CdTrp1!A78</f>
        <v>Génisses renouvellement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>
        <f t="shared" si="22"/>
        <v>0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>
        <f t="shared" si="23"/>
        <v>0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>
        <f t="shared" si="24"/>
        <v>0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génisses 2/3 ans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>
        <f t="shared" si="22"/>
        <v>0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>
        <f t="shared" si="23"/>
        <v>0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>
        <f t="shared" si="24"/>
        <v>0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8" t="str">
        <f>CdTrp1!A80</f>
        <v>tardive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>
        <f t="shared" si="22"/>
        <v>0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>
        <f t="shared" si="23"/>
        <v>0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>
        <f t="shared" si="24"/>
        <v>0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>
        <f t="shared" si="22"/>
        <v>0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>
        <f t="shared" si="23"/>
        <v>0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>
        <f t="shared" si="24"/>
        <v>0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8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>
        <f t="shared" si="22"/>
        <v>0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>
        <f t="shared" si="23"/>
        <v>0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>
        <f t="shared" si="24"/>
        <v>0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8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>
        <f t="shared" si="22"/>
        <v>0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>
        <f t="shared" si="23"/>
        <v>0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>
        <f t="shared" si="24"/>
        <v>0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>
        <f t="shared" si="22"/>
        <v>0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>
        <f t="shared" si="23"/>
        <v>0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>
        <f t="shared" si="24"/>
        <v>0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8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>
        <f t="shared" si="22"/>
        <v>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>
        <f t="shared" si="23"/>
        <v>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>
        <f t="shared" si="24"/>
        <v>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1034</v>
      </c>
      <c r="AG69" s="211" t="str">
        <f t="shared" ref="AG69:AG78" si="25">AG58</f>
        <v>Vaches suitées au pâturage</v>
      </c>
      <c r="AH69" s="215">
        <f t="shared" ref="AH69:BE78" si="26">AH47*AH58</f>
        <v>0</v>
      </c>
      <c r="AI69" s="215">
        <f t="shared" si="26"/>
        <v>0</v>
      </c>
      <c r="AJ69" s="215">
        <f t="shared" si="26"/>
        <v>0</v>
      </c>
      <c r="AK69" s="215">
        <f t="shared" si="26"/>
        <v>0</v>
      </c>
      <c r="AL69" s="215">
        <f t="shared" si="26"/>
        <v>0</v>
      </c>
      <c r="AM69" s="215">
        <f t="shared" si="26"/>
        <v>0</v>
      </c>
      <c r="AN69" s="215">
        <f t="shared" si="26"/>
        <v>0</v>
      </c>
      <c r="AO69" s="215">
        <f t="shared" si="26"/>
        <v>0</v>
      </c>
      <c r="AP69" s="215">
        <f t="shared" si="26"/>
        <v>0</v>
      </c>
      <c r="AQ69" s="215">
        <f t="shared" si="26"/>
        <v>0</v>
      </c>
      <c r="AR69" s="215">
        <f t="shared" si="26"/>
        <v>0</v>
      </c>
      <c r="AS69" s="215">
        <f t="shared" si="26"/>
        <v>0</v>
      </c>
      <c r="AT69" s="215">
        <f t="shared" si="26"/>
        <v>0</v>
      </c>
      <c r="AU69" s="215">
        <f t="shared" si="26"/>
        <v>0</v>
      </c>
      <c r="AV69" s="215">
        <f t="shared" si="26"/>
        <v>0</v>
      </c>
      <c r="AW69" s="215">
        <f t="shared" si="26"/>
        <v>0</v>
      </c>
      <c r="AX69" s="215">
        <f t="shared" si="26"/>
        <v>0</v>
      </c>
      <c r="AY69" s="215">
        <f t="shared" si="26"/>
        <v>0</v>
      </c>
      <c r="AZ69" s="215">
        <f t="shared" si="26"/>
        <v>0</v>
      </c>
      <c r="BA69" s="215">
        <f t="shared" si="26"/>
        <v>0</v>
      </c>
      <c r="BB69" s="215">
        <f t="shared" si="26"/>
        <v>0</v>
      </c>
      <c r="BC69" s="215">
        <f t="shared" si="26"/>
        <v>0</v>
      </c>
      <c r="BD69" s="215">
        <f t="shared" si="26"/>
        <v>0</v>
      </c>
      <c r="BE69" s="215">
        <f t="shared" si="26"/>
        <v>0</v>
      </c>
      <c r="BF69" s="211"/>
      <c r="BG69" s="212" t="s">
        <v>1034</v>
      </c>
      <c r="BH69" s="211" t="str">
        <f t="shared" ref="BH69:BH78" si="27">BH58</f>
        <v>lot1</v>
      </c>
      <c r="BI69" s="211">
        <f t="shared" ref="BI69:CF78" si="28">BI47*BI58</f>
        <v>0</v>
      </c>
      <c r="BJ69" s="211">
        <f t="shared" si="28"/>
        <v>0</v>
      </c>
      <c r="BK69" s="211">
        <f t="shared" si="28"/>
        <v>0</v>
      </c>
      <c r="BL69" s="211">
        <f t="shared" si="28"/>
        <v>0</v>
      </c>
      <c r="BM69" s="211">
        <f t="shared" si="28"/>
        <v>0</v>
      </c>
      <c r="BN69" s="211">
        <f t="shared" si="28"/>
        <v>0</v>
      </c>
      <c r="BO69" s="211">
        <f t="shared" si="28"/>
        <v>0</v>
      </c>
      <c r="BP69" s="211">
        <f t="shared" si="28"/>
        <v>0</v>
      </c>
      <c r="BQ69" s="211">
        <f t="shared" si="28"/>
        <v>0</v>
      </c>
      <c r="BR69" s="211">
        <f t="shared" si="28"/>
        <v>0</v>
      </c>
      <c r="BS69" s="211">
        <f t="shared" si="28"/>
        <v>0</v>
      </c>
      <c r="BT69" s="211">
        <f t="shared" si="28"/>
        <v>0</v>
      </c>
      <c r="BU69" s="211">
        <f t="shared" si="28"/>
        <v>0</v>
      </c>
      <c r="BV69" s="211">
        <f t="shared" si="28"/>
        <v>0</v>
      </c>
      <c r="BW69" s="211">
        <f t="shared" si="28"/>
        <v>0</v>
      </c>
      <c r="BX69" s="211">
        <f t="shared" si="28"/>
        <v>0</v>
      </c>
      <c r="BY69" s="211">
        <f t="shared" si="28"/>
        <v>0</v>
      </c>
      <c r="BZ69" s="211">
        <f t="shared" si="28"/>
        <v>0</v>
      </c>
      <c r="CA69" s="211">
        <f t="shared" si="28"/>
        <v>0</v>
      </c>
      <c r="CB69" s="211">
        <f t="shared" si="28"/>
        <v>0</v>
      </c>
      <c r="CC69" s="211">
        <f t="shared" si="28"/>
        <v>0</v>
      </c>
      <c r="CD69" s="211">
        <f t="shared" si="28"/>
        <v>0</v>
      </c>
      <c r="CE69" s="211">
        <f t="shared" si="28"/>
        <v>0</v>
      </c>
      <c r="CF69" s="211">
        <f t="shared" si="28"/>
        <v>0</v>
      </c>
      <c r="CG69" s="211"/>
      <c r="CH69" s="211"/>
      <c r="CI69" s="212" t="s">
        <v>1034</v>
      </c>
      <c r="CJ69" s="211" t="str">
        <f t="shared" ref="CJ69:CJ78" si="29">CJ58</f>
        <v>lot1</v>
      </c>
      <c r="CK69" s="215">
        <f t="shared" ref="CK69:DH78" si="30">CK47*CK58</f>
        <v>0</v>
      </c>
      <c r="CL69" s="215">
        <f t="shared" si="30"/>
        <v>0</v>
      </c>
      <c r="CM69" s="215">
        <f t="shared" si="30"/>
        <v>0</v>
      </c>
      <c r="CN69" s="215">
        <f t="shared" si="30"/>
        <v>0</v>
      </c>
      <c r="CO69" s="215">
        <f t="shared" si="30"/>
        <v>0</v>
      </c>
      <c r="CP69" s="215">
        <f t="shared" si="30"/>
        <v>0</v>
      </c>
      <c r="CQ69" s="215">
        <f t="shared" si="30"/>
        <v>0</v>
      </c>
      <c r="CR69" s="215">
        <f t="shared" si="30"/>
        <v>0</v>
      </c>
      <c r="CS69" s="215">
        <f t="shared" si="30"/>
        <v>0</v>
      </c>
      <c r="CT69" s="215">
        <f t="shared" si="30"/>
        <v>0</v>
      </c>
      <c r="CU69" s="215">
        <f t="shared" si="30"/>
        <v>0</v>
      </c>
      <c r="CV69" s="215">
        <f t="shared" si="30"/>
        <v>0</v>
      </c>
      <c r="CW69" s="215">
        <f t="shared" si="30"/>
        <v>0</v>
      </c>
      <c r="CX69" s="215">
        <f t="shared" si="30"/>
        <v>0</v>
      </c>
      <c r="CY69" s="215">
        <f t="shared" si="30"/>
        <v>0</v>
      </c>
      <c r="CZ69" s="215">
        <f t="shared" si="30"/>
        <v>0</v>
      </c>
      <c r="DA69" s="215">
        <f t="shared" si="30"/>
        <v>0</v>
      </c>
      <c r="DB69" s="215">
        <f t="shared" si="30"/>
        <v>0</v>
      </c>
      <c r="DC69" s="215">
        <f t="shared" si="30"/>
        <v>0</v>
      </c>
      <c r="DD69" s="215">
        <f t="shared" si="30"/>
        <v>0</v>
      </c>
      <c r="DE69" s="215">
        <f t="shared" si="30"/>
        <v>0</v>
      </c>
      <c r="DF69" s="215">
        <f t="shared" si="30"/>
        <v>0</v>
      </c>
      <c r="DG69" s="215">
        <f t="shared" si="30"/>
        <v>0</v>
      </c>
      <c r="DH69" s="215">
        <f t="shared" si="30"/>
        <v>0</v>
      </c>
      <c r="DI69" s="211"/>
      <c r="DJ69" s="211"/>
      <c r="DK69" s="212" t="s">
        <v>1034</v>
      </c>
      <c r="DL69" s="211" t="str">
        <f t="shared" ref="DL69:DL78" si="31">DL58</f>
        <v>lot1</v>
      </c>
      <c r="DM69" s="215">
        <f t="shared" ref="DM69:EJ78" si="32">DM47*DM58</f>
        <v>0</v>
      </c>
      <c r="DN69" s="215">
        <f t="shared" si="32"/>
        <v>0</v>
      </c>
      <c r="DO69" s="215">
        <f t="shared" si="32"/>
        <v>0</v>
      </c>
      <c r="DP69" s="215">
        <f t="shared" si="32"/>
        <v>0</v>
      </c>
      <c r="DQ69" s="215">
        <f t="shared" si="32"/>
        <v>0</v>
      </c>
      <c r="DR69" s="215">
        <f t="shared" si="32"/>
        <v>0</v>
      </c>
      <c r="DS69" s="215">
        <f t="shared" si="32"/>
        <v>0</v>
      </c>
      <c r="DT69" s="215">
        <f t="shared" si="32"/>
        <v>0</v>
      </c>
      <c r="DU69" s="215">
        <f t="shared" si="32"/>
        <v>0</v>
      </c>
      <c r="DV69" s="215">
        <f t="shared" si="32"/>
        <v>0</v>
      </c>
      <c r="DW69" s="215">
        <f t="shared" si="32"/>
        <v>0</v>
      </c>
      <c r="DX69" s="215">
        <f t="shared" si="32"/>
        <v>0</v>
      </c>
      <c r="DY69" s="215">
        <f t="shared" si="32"/>
        <v>0</v>
      </c>
      <c r="DZ69" s="215">
        <f t="shared" si="32"/>
        <v>0</v>
      </c>
      <c r="EA69" s="215">
        <f t="shared" si="32"/>
        <v>0</v>
      </c>
      <c r="EB69" s="215">
        <f t="shared" si="32"/>
        <v>0</v>
      </c>
      <c r="EC69" s="215">
        <f t="shared" si="32"/>
        <v>0</v>
      </c>
      <c r="ED69" s="215">
        <f t="shared" si="32"/>
        <v>0</v>
      </c>
      <c r="EE69" s="215">
        <f t="shared" si="32"/>
        <v>0</v>
      </c>
      <c r="EF69" s="215">
        <f t="shared" si="32"/>
        <v>0</v>
      </c>
      <c r="EG69" s="215">
        <f t="shared" si="32"/>
        <v>0</v>
      </c>
      <c r="EH69" s="215">
        <f t="shared" si="32"/>
        <v>0</v>
      </c>
      <c r="EI69" s="215">
        <f t="shared" si="32"/>
        <v>0</v>
      </c>
      <c r="EJ69" s="215">
        <f t="shared" si="32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5"/>
        <v xml:space="preserve">Vaches lot principal </v>
      </c>
      <c r="AH70" s="215">
        <f t="shared" si="26"/>
        <v>0</v>
      </c>
      <c r="AI70" s="215">
        <f t="shared" si="26"/>
        <v>0</v>
      </c>
      <c r="AJ70" s="215">
        <f t="shared" si="26"/>
        <v>0</v>
      </c>
      <c r="AK70" s="215">
        <f t="shared" si="26"/>
        <v>0</v>
      </c>
      <c r="AL70" s="215">
        <f t="shared" si="26"/>
        <v>0</v>
      </c>
      <c r="AM70" s="215">
        <f t="shared" si="26"/>
        <v>0</v>
      </c>
      <c r="AN70" s="215">
        <f t="shared" si="26"/>
        <v>0</v>
      </c>
      <c r="AO70" s="215">
        <f t="shared" si="26"/>
        <v>0</v>
      </c>
      <c r="AP70" s="215">
        <f t="shared" si="26"/>
        <v>0</v>
      </c>
      <c r="AQ70" s="215">
        <f t="shared" si="26"/>
        <v>0</v>
      </c>
      <c r="AR70" s="215">
        <f t="shared" si="26"/>
        <v>0</v>
      </c>
      <c r="AS70" s="215">
        <f t="shared" si="26"/>
        <v>0</v>
      </c>
      <c r="AT70" s="215">
        <f t="shared" si="26"/>
        <v>0</v>
      </c>
      <c r="AU70" s="215">
        <f t="shared" si="26"/>
        <v>0</v>
      </c>
      <c r="AV70" s="215">
        <f t="shared" si="26"/>
        <v>0</v>
      </c>
      <c r="AW70" s="215">
        <f t="shared" si="26"/>
        <v>0</v>
      </c>
      <c r="AX70" s="215">
        <f t="shared" si="26"/>
        <v>0</v>
      </c>
      <c r="AY70" s="215">
        <f t="shared" si="26"/>
        <v>0</v>
      </c>
      <c r="AZ70" s="215">
        <f t="shared" si="26"/>
        <v>0</v>
      </c>
      <c r="BA70" s="215">
        <f t="shared" si="26"/>
        <v>0</v>
      </c>
      <c r="BB70" s="215">
        <f t="shared" si="26"/>
        <v>0</v>
      </c>
      <c r="BC70" s="215">
        <f t="shared" si="26"/>
        <v>0</v>
      </c>
      <c r="BD70" s="215">
        <f t="shared" si="26"/>
        <v>0</v>
      </c>
      <c r="BE70" s="215">
        <f t="shared" si="26"/>
        <v>0</v>
      </c>
      <c r="BF70" s="211"/>
      <c r="BG70" s="212"/>
      <c r="BH70" s="211">
        <f t="shared" si="27"/>
        <v>0</v>
      </c>
      <c r="BI70" s="211">
        <f t="shared" si="28"/>
        <v>0</v>
      </c>
      <c r="BJ70" s="211">
        <f t="shared" si="28"/>
        <v>0</v>
      </c>
      <c r="BK70" s="211">
        <f t="shared" si="28"/>
        <v>0</v>
      </c>
      <c r="BL70" s="211">
        <f t="shared" si="28"/>
        <v>0</v>
      </c>
      <c r="BM70" s="211">
        <f t="shared" si="28"/>
        <v>0</v>
      </c>
      <c r="BN70" s="211">
        <f t="shared" si="28"/>
        <v>0</v>
      </c>
      <c r="BO70" s="211">
        <f t="shared" si="28"/>
        <v>0</v>
      </c>
      <c r="BP70" s="211">
        <f t="shared" si="28"/>
        <v>0</v>
      </c>
      <c r="BQ70" s="211">
        <f t="shared" si="28"/>
        <v>0</v>
      </c>
      <c r="BR70" s="211">
        <f t="shared" si="28"/>
        <v>0</v>
      </c>
      <c r="BS70" s="211">
        <f t="shared" si="28"/>
        <v>0</v>
      </c>
      <c r="BT70" s="211">
        <f t="shared" si="28"/>
        <v>0</v>
      </c>
      <c r="BU70" s="211">
        <f t="shared" si="28"/>
        <v>0</v>
      </c>
      <c r="BV70" s="211">
        <f t="shared" si="28"/>
        <v>0</v>
      </c>
      <c r="BW70" s="211">
        <f t="shared" si="28"/>
        <v>0</v>
      </c>
      <c r="BX70" s="211">
        <f t="shared" si="28"/>
        <v>0</v>
      </c>
      <c r="BY70" s="211">
        <f t="shared" si="28"/>
        <v>0</v>
      </c>
      <c r="BZ70" s="211">
        <f t="shared" si="28"/>
        <v>0</v>
      </c>
      <c r="CA70" s="211">
        <f t="shared" si="28"/>
        <v>0</v>
      </c>
      <c r="CB70" s="211">
        <f t="shared" si="28"/>
        <v>0</v>
      </c>
      <c r="CC70" s="211">
        <f t="shared" si="28"/>
        <v>0</v>
      </c>
      <c r="CD70" s="211">
        <f t="shared" si="28"/>
        <v>0</v>
      </c>
      <c r="CE70" s="211">
        <f t="shared" si="28"/>
        <v>0</v>
      </c>
      <c r="CF70" s="211">
        <f t="shared" si="28"/>
        <v>0</v>
      </c>
      <c r="CG70" s="211"/>
      <c r="CH70" s="211"/>
      <c r="CI70" s="212"/>
      <c r="CJ70" s="211">
        <f t="shared" si="29"/>
        <v>0</v>
      </c>
      <c r="CK70" s="215">
        <f t="shared" si="30"/>
        <v>0</v>
      </c>
      <c r="CL70" s="215">
        <f t="shared" si="30"/>
        <v>0</v>
      </c>
      <c r="CM70" s="215">
        <f t="shared" si="30"/>
        <v>0</v>
      </c>
      <c r="CN70" s="215">
        <f t="shared" si="30"/>
        <v>0</v>
      </c>
      <c r="CO70" s="215">
        <f t="shared" si="30"/>
        <v>0</v>
      </c>
      <c r="CP70" s="215">
        <f t="shared" si="30"/>
        <v>0</v>
      </c>
      <c r="CQ70" s="215">
        <f t="shared" si="30"/>
        <v>0</v>
      </c>
      <c r="CR70" s="215">
        <f t="shared" si="30"/>
        <v>0</v>
      </c>
      <c r="CS70" s="215">
        <f t="shared" si="30"/>
        <v>0</v>
      </c>
      <c r="CT70" s="215">
        <f t="shared" si="30"/>
        <v>0</v>
      </c>
      <c r="CU70" s="215">
        <f t="shared" si="30"/>
        <v>0</v>
      </c>
      <c r="CV70" s="215">
        <f t="shared" si="30"/>
        <v>0</v>
      </c>
      <c r="CW70" s="215">
        <f t="shared" si="30"/>
        <v>0</v>
      </c>
      <c r="CX70" s="215">
        <f t="shared" si="30"/>
        <v>0</v>
      </c>
      <c r="CY70" s="215">
        <f t="shared" si="30"/>
        <v>0</v>
      </c>
      <c r="CZ70" s="215">
        <f t="shared" si="30"/>
        <v>0</v>
      </c>
      <c r="DA70" s="215">
        <f t="shared" si="30"/>
        <v>0</v>
      </c>
      <c r="DB70" s="215">
        <f t="shared" si="30"/>
        <v>0</v>
      </c>
      <c r="DC70" s="215">
        <f t="shared" si="30"/>
        <v>0</v>
      </c>
      <c r="DD70" s="215">
        <f t="shared" si="30"/>
        <v>0</v>
      </c>
      <c r="DE70" s="215">
        <f t="shared" si="30"/>
        <v>0</v>
      </c>
      <c r="DF70" s="215">
        <f t="shared" si="30"/>
        <v>0</v>
      </c>
      <c r="DG70" s="215">
        <f t="shared" si="30"/>
        <v>0</v>
      </c>
      <c r="DH70" s="215">
        <f t="shared" si="30"/>
        <v>0</v>
      </c>
      <c r="DI70" s="211"/>
      <c r="DJ70" s="211"/>
      <c r="DK70" s="212"/>
      <c r="DL70" s="211">
        <f t="shared" si="31"/>
        <v>0</v>
      </c>
      <c r="DM70" s="215">
        <f t="shared" si="32"/>
        <v>0</v>
      </c>
      <c r="DN70" s="215">
        <f t="shared" si="32"/>
        <v>0</v>
      </c>
      <c r="DO70" s="215">
        <f t="shared" si="32"/>
        <v>0</v>
      </c>
      <c r="DP70" s="215">
        <f t="shared" si="32"/>
        <v>0</v>
      </c>
      <c r="DQ70" s="215">
        <f t="shared" si="32"/>
        <v>0</v>
      </c>
      <c r="DR70" s="215">
        <f t="shared" si="32"/>
        <v>0</v>
      </c>
      <c r="DS70" s="215">
        <f t="shared" si="32"/>
        <v>0</v>
      </c>
      <c r="DT70" s="215">
        <f t="shared" si="32"/>
        <v>0</v>
      </c>
      <c r="DU70" s="215">
        <f t="shared" si="32"/>
        <v>0</v>
      </c>
      <c r="DV70" s="215">
        <f t="shared" si="32"/>
        <v>0</v>
      </c>
      <c r="DW70" s="215">
        <f t="shared" si="32"/>
        <v>0</v>
      </c>
      <c r="DX70" s="215">
        <f t="shared" si="32"/>
        <v>0</v>
      </c>
      <c r="DY70" s="215">
        <f t="shared" si="32"/>
        <v>0</v>
      </c>
      <c r="DZ70" s="215">
        <f t="shared" si="32"/>
        <v>0</v>
      </c>
      <c r="EA70" s="215">
        <f t="shared" si="32"/>
        <v>0</v>
      </c>
      <c r="EB70" s="215">
        <f t="shared" si="32"/>
        <v>0</v>
      </c>
      <c r="EC70" s="215">
        <f t="shared" si="32"/>
        <v>0</v>
      </c>
      <c r="ED70" s="215">
        <f t="shared" si="32"/>
        <v>0</v>
      </c>
      <c r="EE70" s="215">
        <f t="shared" si="32"/>
        <v>0</v>
      </c>
      <c r="EF70" s="215">
        <f t="shared" si="32"/>
        <v>0</v>
      </c>
      <c r="EG70" s="215">
        <f t="shared" si="32"/>
        <v>0</v>
      </c>
      <c r="EH70" s="215">
        <f t="shared" si="32"/>
        <v>0</v>
      </c>
      <c r="EI70" s="215">
        <f t="shared" si="32"/>
        <v>0</v>
      </c>
      <c r="EJ70" s="215">
        <f t="shared" si="32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5"/>
        <v>Génisses renouvellement</v>
      </c>
      <c r="AH71" s="215">
        <f t="shared" si="26"/>
        <v>0</v>
      </c>
      <c r="AI71" s="215">
        <f t="shared" si="26"/>
        <v>0</v>
      </c>
      <c r="AJ71" s="215">
        <f t="shared" si="26"/>
        <v>0</v>
      </c>
      <c r="AK71" s="215">
        <f t="shared" si="26"/>
        <v>0</v>
      </c>
      <c r="AL71" s="215">
        <f t="shared" si="26"/>
        <v>0</v>
      </c>
      <c r="AM71" s="215">
        <f t="shared" si="26"/>
        <v>0</v>
      </c>
      <c r="AN71" s="215">
        <f t="shared" si="26"/>
        <v>0</v>
      </c>
      <c r="AO71" s="215">
        <f t="shared" si="26"/>
        <v>0</v>
      </c>
      <c r="AP71" s="215">
        <f t="shared" si="26"/>
        <v>0</v>
      </c>
      <c r="AQ71" s="215">
        <f t="shared" si="26"/>
        <v>0</v>
      </c>
      <c r="AR71" s="215">
        <f t="shared" si="26"/>
        <v>0</v>
      </c>
      <c r="AS71" s="215">
        <f t="shared" si="26"/>
        <v>0</v>
      </c>
      <c r="AT71" s="215">
        <f t="shared" si="26"/>
        <v>0</v>
      </c>
      <c r="AU71" s="215">
        <f t="shared" si="26"/>
        <v>0</v>
      </c>
      <c r="AV71" s="215">
        <f t="shared" si="26"/>
        <v>0</v>
      </c>
      <c r="AW71" s="215">
        <f t="shared" si="26"/>
        <v>0</v>
      </c>
      <c r="AX71" s="215">
        <f t="shared" si="26"/>
        <v>0</v>
      </c>
      <c r="AY71" s="215">
        <f t="shared" si="26"/>
        <v>0</v>
      </c>
      <c r="AZ71" s="215">
        <f t="shared" si="26"/>
        <v>0</v>
      </c>
      <c r="BA71" s="215">
        <f t="shared" si="26"/>
        <v>0</v>
      </c>
      <c r="BB71" s="215">
        <f t="shared" si="26"/>
        <v>0</v>
      </c>
      <c r="BC71" s="215">
        <f t="shared" si="26"/>
        <v>0</v>
      </c>
      <c r="BD71" s="215">
        <f t="shared" si="26"/>
        <v>0</v>
      </c>
      <c r="BE71" s="215">
        <f t="shared" si="26"/>
        <v>0</v>
      </c>
      <c r="BF71" s="211"/>
      <c r="BG71" s="212"/>
      <c r="BH71" s="211">
        <f t="shared" si="27"/>
        <v>0</v>
      </c>
      <c r="BI71" s="211">
        <f t="shared" si="28"/>
        <v>0</v>
      </c>
      <c r="BJ71" s="211">
        <f t="shared" si="28"/>
        <v>0</v>
      </c>
      <c r="BK71" s="211">
        <f t="shared" si="28"/>
        <v>0</v>
      </c>
      <c r="BL71" s="211">
        <f t="shared" si="28"/>
        <v>0</v>
      </c>
      <c r="BM71" s="211">
        <f t="shared" si="28"/>
        <v>0</v>
      </c>
      <c r="BN71" s="211">
        <f t="shared" si="28"/>
        <v>0</v>
      </c>
      <c r="BO71" s="211">
        <f t="shared" si="28"/>
        <v>0</v>
      </c>
      <c r="BP71" s="211">
        <f t="shared" si="28"/>
        <v>0</v>
      </c>
      <c r="BQ71" s="211">
        <f t="shared" si="28"/>
        <v>0</v>
      </c>
      <c r="BR71" s="211">
        <f t="shared" si="28"/>
        <v>0</v>
      </c>
      <c r="BS71" s="211">
        <f t="shared" si="28"/>
        <v>0</v>
      </c>
      <c r="BT71" s="211">
        <f t="shared" si="28"/>
        <v>0</v>
      </c>
      <c r="BU71" s="211">
        <f t="shared" si="28"/>
        <v>0</v>
      </c>
      <c r="BV71" s="211">
        <f t="shared" si="28"/>
        <v>0</v>
      </c>
      <c r="BW71" s="211">
        <f t="shared" si="28"/>
        <v>0</v>
      </c>
      <c r="BX71" s="211">
        <f t="shared" si="28"/>
        <v>0</v>
      </c>
      <c r="BY71" s="211">
        <f t="shared" si="28"/>
        <v>0</v>
      </c>
      <c r="BZ71" s="211">
        <f t="shared" si="28"/>
        <v>0</v>
      </c>
      <c r="CA71" s="211">
        <f t="shared" si="28"/>
        <v>0</v>
      </c>
      <c r="CB71" s="211">
        <f t="shared" si="28"/>
        <v>0</v>
      </c>
      <c r="CC71" s="211">
        <f t="shared" si="28"/>
        <v>0</v>
      </c>
      <c r="CD71" s="211">
        <f t="shared" si="28"/>
        <v>0</v>
      </c>
      <c r="CE71" s="211">
        <f t="shared" si="28"/>
        <v>0</v>
      </c>
      <c r="CF71" s="211">
        <f t="shared" si="28"/>
        <v>0</v>
      </c>
      <c r="CG71" s="211"/>
      <c r="CH71" s="211"/>
      <c r="CI71" s="212"/>
      <c r="CJ71" s="211">
        <f t="shared" si="29"/>
        <v>0</v>
      </c>
      <c r="CK71" s="215">
        <f t="shared" si="30"/>
        <v>0</v>
      </c>
      <c r="CL71" s="215">
        <f t="shared" si="30"/>
        <v>0</v>
      </c>
      <c r="CM71" s="215">
        <f t="shared" si="30"/>
        <v>0</v>
      </c>
      <c r="CN71" s="215">
        <f t="shared" si="30"/>
        <v>0</v>
      </c>
      <c r="CO71" s="215">
        <f t="shared" si="30"/>
        <v>0</v>
      </c>
      <c r="CP71" s="215">
        <f t="shared" si="30"/>
        <v>0</v>
      </c>
      <c r="CQ71" s="215">
        <f t="shared" si="30"/>
        <v>0</v>
      </c>
      <c r="CR71" s="215">
        <f t="shared" si="30"/>
        <v>0</v>
      </c>
      <c r="CS71" s="215">
        <f t="shared" si="30"/>
        <v>0</v>
      </c>
      <c r="CT71" s="215">
        <f t="shared" si="30"/>
        <v>0</v>
      </c>
      <c r="CU71" s="215">
        <f t="shared" si="30"/>
        <v>0</v>
      </c>
      <c r="CV71" s="215">
        <f t="shared" si="30"/>
        <v>0</v>
      </c>
      <c r="CW71" s="215">
        <f t="shared" si="30"/>
        <v>0</v>
      </c>
      <c r="CX71" s="215">
        <f t="shared" si="30"/>
        <v>0</v>
      </c>
      <c r="CY71" s="215">
        <f t="shared" si="30"/>
        <v>0</v>
      </c>
      <c r="CZ71" s="215">
        <f t="shared" si="30"/>
        <v>0</v>
      </c>
      <c r="DA71" s="215">
        <f t="shared" si="30"/>
        <v>0</v>
      </c>
      <c r="DB71" s="215">
        <f t="shared" si="30"/>
        <v>0</v>
      </c>
      <c r="DC71" s="215">
        <f t="shared" si="30"/>
        <v>0</v>
      </c>
      <c r="DD71" s="215">
        <f t="shared" si="30"/>
        <v>0</v>
      </c>
      <c r="DE71" s="215">
        <f t="shared" si="30"/>
        <v>0</v>
      </c>
      <c r="DF71" s="215">
        <f t="shared" si="30"/>
        <v>0</v>
      </c>
      <c r="DG71" s="215">
        <f t="shared" si="30"/>
        <v>0</v>
      </c>
      <c r="DH71" s="215">
        <f t="shared" si="30"/>
        <v>0</v>
      </c>
      <c r="DI71" s="211"/>
      <c r="DJ71" s="211"/>
      <c r="DK71" s="212"/>
      <c r="DL71" s="211">
        <f t="shared" si="31"/>
        <v>0</v>
      </c>
      <c r="DM71" s="215">
        <f t="shared" si="32"/>
        <v>0</v>
      </c>
      <c r="DN71" s="215">
        <f t="shared" si="32"/>
        <v>0</v>
      </c>
      <c r="DO71" s="215">
        <f t="shared" si="32"/>
        <v>0</v>
      </c>
      <c r="DP71" s="215">
        <f t="shared" si="32"/>
        <v>0</v>
      </c>
      <c r="DQ71" s="215">
        <f t="shared" si="32"/>
        <v>0</v>
      </c>
      <c r="DR71" s="215">
        <f t="shared" si="32"/>
        <v>0</v>
      </c>
      <c r="DS71" s="215">
        <f t="shared" si="32"/>
        <v>0</v>
      </c>
      <c r="DT71" s="215">
        <f t="shared" si="32"/>
        <v>0</v>
      </c>
      <c r="DU71" s="215">
        <f t="shared" si="32"/>
        <v>0</v>
      </c>
      <c r="DV71" s="215">
        <f t="shared" si="32"/>
        <v>0</v>
      </c>
      <c r="DW71" s="215">
        <f t="shared" si="32"/>
        <v>0</v>
      </c>
      <c r="DX71" s="215">
        <f t="shared" si="32"/>
        <v>0</v>
      </c>
      <c r="DY71" s="215">
        <f t="shared" si="32"/>
        <v>0</v>
      </c>
      <c r="DZ71" s="215">
        <f t="shared" si="32"/>
        <v>0</v>
      </c>
      <c r="EA71" s="215">
        <f t="shared" si="32"/>
        <v>0</v>
      </c>
      <c r="EB71" s="215">
        <f t="shared" si="32"/>
        <v>0</v>
      </c>
      <c r="EC71" s="215">
        <f t="shared" si="32"/>
        <v>0</v>
      </c>
      <c r="ED71" s="215">
        <f t="shared" si="32"/>
        <v>0</v>
      </c>
      <c r="EE71" s="215">
        <f t="shared" si="32"/>
        <v>0</v>
      </c>
      <c r="EF71" s="215">
        <f t="shared" si="32"/>
        <v>0</v>
      </c>
      <c r="EG71" s="215">
        <f t="shared" si="32"/>
        <v>0</v>
      </c>
      <c r="EH71" s="215">
        <f t="shared" si="32"/>
        <v>0</v>
      </c>
      <c r="EI71" s="215">
        <f t="shared" si="32"/>
        <v>0</v>
      </c>
      <c r="EJ71" s="215">
        <f t="shared" si="32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5"/>
        <v>génisses 2/3 ans</v>
      </c>
      <c r="AH72" s="215">
        <f t="shared" si="26"/>
        <v>0</v>
      </c>
      <c r="AI72" s="215">
        <f t="shared" si="26"/>
        <v>0</v>
      </c>
      <c r="AJ72" s="215">
        <f t="shared" si="26"/>
        <v>0</v>
      </c>
      <c r="AK72" s="215">
        <f t="shared" si="26"/>
        <v>0</v>
      </c>
      <c r="AL72" s="215">
        <f t="shared" si="26"/>
        <v>0</v>
      </c>
      <c r="AM72" s="215">
        <f t="shared" si="26"/>
        <v>0</v>
      </c>
      <c r="AN72" s="215">
        <f t="shared" si="26"/>
        <v>0</v>
      </c>
      <c r="AO72" s="215">
        <f t="shared" si="26"/>
        <v>0</v>
      </c>
      <c r="AP72" s="215">
        <f t="shared" si="26"/>
        <v>0</v>
      </c>
      <c r="AQ72" s="215">
        <f t="shared" si="26"/>
        <v>0</v>
      </c>
      <c r="AR72" s="215">
        <f t="shared" si="26"/>
        <v>0</v>
      </c>
      <c r="AS72" s="215">
        <f t="shared" si="26"/>
        <v>0</v>
      </c>
      <c r="AT72" s="215">
        <f t="shared" si="26"/>
        <v>0</v>
      </c>
      <c r="AU72" s="215">
        <f t="shared" si="26"/>
        <v>0</v>
      </c>
      <c r="AV72" s="215">
        <f t="shared" si="26"/>
        <v>0</v>
      </c>
      <c r="AW72" s="215">
        <f t="shared" si="26"/>
        <v>0</v>
      </c>
      <c r="AX72" s="215">
        <f t="shared" si="26"/>
        <v>0</v>
      </c>
      <c r="AY72" s="215">
        <f t="shared" si="26"/>
        <v>0</v>
      </c>
      <c r="AZ72" s="215">
        <f t="shared" si="26"/>
        <v>0</v>
      </c>
      <c r="BA72" s="215">
        <f t="shared" si="26"/>
        <v>0</v>
      </c>
      <c r="BB72" s="215">
        <f t="shared" si="26"/>
        <v>0</v>
      </c>
      <c r="BC72" s="215">
        <f t="shared" si="26"/>
        <v>0</v>
      </c>
      <c r="BD72" s="215">
        <f t="shared" si="26"/>
        <v>0</v>
      </c>
      <c r="BE72" s="215">
        <f t="shared" si="26"/>
        <v>0</v>
      </c>
      <c r="BF72" s="211"/>
      <c r="BG72" s="212"/>
      <c r="BH72" s="211">
        <f t="shared" si="27"/>
        <v>0</v>
      </c>
      <c r="BI72" s="211">
        <f t="shared" si="28"/>
        <v>0</v>
      </c>
      <c r="BJ72" s="211">
        <f t="shared" si="28"/>
        <v>0</v>
      </c>
      <c r="BK72" s="211">
        <f t="shared" si="28"/>
        <v>0</v>
      </c>
      <c r="BL72" s="211">
        <f t="shared" si="28"/>
        <v>0</v>
      </c>
      <c r="BM72" s="211">
        <f t="shared" si="28"/>
        <v>0</v>
      </c>
      <c r="BN72" s="211">
        <f t="shared" si="28"/>
        <v>0</v>
      </c>
      <c r="BO72" s="211">
        <f t="shared" si="28"/>
        <v>0</v>
      </c>
      <c r="BP72" s="211">
        <f t="shared" si="28"/>
        <v>0</v>
      </c>
      <c r="BQ72" s="211">
        <f t="shared" si="28"/>
        <v>0</v>
      </c>
      <c r="BR72" s="211">
        <f t="shared" si="28"/>
        <v>0</v>
      </c>
      <c r="BS72" s="211">
        <f t="shared" si="28"/>
        <v>0</v>
      </c>
      <c r="BT72" s="211">
        <f t="shared" si="28"/>
        <v>0</v>
      </c>
      <c r="BU72" s="211">
        <f t="shared" si="28"/>
        <v>0</v>
      </c>
      <c r="BV72" s="211">
        <f t="shared" si="28"/>
        <v>0</v>
      </c>
      <c r="BW72" s="211">
        <f t="shared" si="28"/>
        <v>0</v>
      </c>
      <c r="BX72" s="211">
        <f t="shared" si="28"/>
        <v>0</v>
      </c>
      <c r="BY72" s="211">
        <f t="shared" si="28"/>
        <v>0</v>
      </c>
      <c r="BZ72" s="211">
        <f t="shared" si="28"/>
        <v>0</v>
      </c>
      <c r="CA72" s="211">
        <f t="shared" si="28"/>
        <v>0</v>
      </c>
      <c r="CB72" s="211">
        <f t="shared" si="28"/>
        <v>0</v>
      </c>
      <c r="CC72" s="211">
        <f t="shared" si="28"/>
        <v>0</v>
      </c>
      <c r="CD72" s="211">
        <f t="shared" si="28"/>
        <v>0</v>
      </c>
      <c r="CE72" s="211">
        <f t="shared" si="28"/>
        <v>0</v>
      </c>
      <c r="CF72" s="211">
        <f t="shared" si="28"/>
        <v>0</v>
      </c>
      <c r="CG72" s="211"/>
      <c r="CH72" s="211"/>
      <c r="CI72" s="212"/>
      <c r="CJ72" s="211">
        <f t="shared" si="29"/>
        <v>0</v>
      </c>
      <c r="CK72" s="215">
        <f t="shared" si="30"/>
        <v>0</v>
      </c>
      <c r="CL72" s="215">
        <f t="shared" si="30"/>
        <v>0</v>
      </c>
      <c r="CM72" s="215">
        <f t="shared" si="30"/>
        <v>0</v>
      </c>
      <c r="CN72" s="215">
        <f t="shared" si="30"/>
        <v>0</v>
      </c>
      <c r="CO72" s="215">
        <f t="shared" si="30"/>
        <v>0</v>
      </c>
      <c r="CP72" s="215">
        <f t="shared" si="30"/>
        <v>0</v>
      </c>
      <c r="CQ72" s="215">
        <f t="shared" si="30"/>
        <v>0</v>
      </c>
      <c r="CR72" s="215">
        <f t="shared" si="30"/>
        <v>0</v>
      </c>
      <c r="CS72" s="215">
        <f t="shared" si="30"/>
        <v>0</v>
      </c>
      <c r="CT72" s="215">
        <f t="shared" si="30"/>
        <v>0</v>
      </c>
      <c r="CU72" s="215">
        <f t="shared" si="30"/>
        <v>0</v>
      </c>
      <c r="CV72" s="215">
        <f t="shared" si="30"/>
        <v>0</v>
      </c>
      <c r="CW72" s="215">
        <f t="shared" si="30"/>
        <v>0</v>
      </c>
      <c r="CX72" s="215">
        <f t="shared" si="30"/>
        <v>0</v>
      </c>
      <c r="CY72" s="215">
        <f t="shared" si="30"/>
        <v>0</v>
      </c>
      <c r="CZ72" s="215">
        <f t="shared" si="30"/>
        <v>0</v>
      </c>
      <c r="DA72" s="215">
        <f t="shared" si="30"/>
        <v>0</v>
      </c>
      <c r="DB72" s="215">
        <f t="shared" si="30"/>
        <v>0</v>
      </c>
      <c r="DC72" s="215">
        <f t="shared" si="30"/>
        <v>0</v>
      </c>
      <c r="DD72" s="215">
        <f t="shared" si="30"/>
        <v>0</v>
      </c>
      <c r="DE72" s="215">
        <f t="shared" si="30"/>
        <v>0</v>
      </c>
      <c r="DF72" s="215">
        <f t="shared" si="30"/>
        <v>0</v>
      </c>
      <c r="DG72" s="215">
        <f t="shared" si="30"/>
        <v>0</v>
      </c>
      <c r="DH72" s="215">
        <f t="shared" si="30"/>
        <v>0</v>
      </c>
      <c r="DI72" s="211"/>
      <c r="DJ72" s="211"/>
      <c r="DK72" s="212"/>
      <c r="DL72" s="211">
        <f t="shared" si="31"/>
        <v>0</v>
      </c>
      <c r="DM72" s="215">
        <f t="shared" si="32"/>
        <v>0</v>
      </c>
      <c r="DN72" s="215">
        <f t="shared" si="32"/>
        <v>0</v>
      </c>
      <c r="DO72" s="215">
        <f t="shared" si="32"/>
        <v>0</v>
      </c>
      <c r="DP72" s="215">
        <f t="shared" si="32"/>
        <v>0</v>
      </c>
      <c r="DQ72" s="215">
        <f t="shared" si="32"/>
        <v>0</v>
      </c>
      <c r="DR72" s="215">
        <f t="shared" si="32"/>
        <v>0</v>
      </c>
      <c r="DS72" s="215">
        <f t="shared" si="32"/>
        <v>0</v>
      </c>
      <c r="DT72" s="215">
        <f t="shared" si="32"/>
        <v>0</v>
      </c>
      <c r="DU72" s="215">
        <f t="shared" si="32"/>
        <v>0</v>
      </c>
      <c r="DV72" s="215">
        <f t="shared" si="32"/>
        <v>0</v>
      </c>
      <c r="DW72" s="215">
        <f t="shared" si="32"/>
        <v>0</v>
      </c>
      <c r="DX72" s="215">
        <f t="shared" si="32"/>
        <v>0</v>
      </c>
      <c r="DY72" s="215">
        <f t="shared" si="32"/>
        <v>0</v>
      </c>
      <c r="DZ72" s="215">
        <f t="shared" si="32"/>
        <v>0</v>
      </c>
      <c r="EA72" s="215">
        <f t="shared" si="32"/>
        <v>0</v>
      </c>
      <c r="EB72" s="215">
        <f t="shared" si="32"/>
        <v>0</v>
      </c>
      <c r="EC72" s="215">
        <f t="shared" si="32"/>
        <v>0</v>
      </c>
      <c r="ED72" s="215">
        <f t="shared" si="32"/>
        <v>0</v>
      </c>
      <c r="EE72" s="215">
        <f t="shared" si="32"/>
        <v>0</v>
      </c>
      <c r="EF72" s="215">
        <f t="shared" si="32"/>
        <v>0</v>
      </c>
      <c r="EG72" s="215">
        <f t="shared" si="32"/>
        <v>0</v>
      </c>
      <c r="EH72" s="215">
        <f t="shared" si="32"/>
        <v>0</v>
      </c>
      <c r="EI72" s="215">
        <f t="shared" si="32"/>
        <v>0</v>
      </c>
      <c r="EJ72" s="215">
        <f t="shared" si="32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5"/>
        <v>tardive</v>
      </c>
      <c r="AH73" s="215">
        <f t="shared" si="26"/>
        <v>0</v>
      </c>
      <c r="AI73" s="215">
        <f t="shared" si="26"/>
        <v>0</v>
      </c>
      <c r="AJ73" s="215">
        <f t="shared" si="26"/>
        <v>0</v>
      </c>
      <c r="AK73" s="215">
        <f t="shared" si="26"/>
        <v>0</v>
      </c>
      <c r="AL73" s="215">
        <f t="shared" si="26"/>
        <v>0</v>
      </c>
      <c r="AM73" s="215">
        <f t="shared" si="26"/>
        <v>0</v>
      </c>
      <c r="AN73" s="215">
        <f t="shared" si="26"/>
        <v>0</v>
      </c>
      <c r="AO73" s="215">
        <f t="shared" si="26"/>
        <v>0</v>
      </c>
      <c r="AP73" s="215">
        <f t="shared" si="26"/>
        <v>0</v>
      </c>
      <c r="AQ73" s="215">
        <f t="shared" si="26"/>
        <v>0</v>
      </c>
      <c r="AR73" s="215">
        <f t="shared" si="26"/>
        <v>0</v>
      </c>
      <c r="AS73" s="215">
        <f t="shared" si="26"/>
        <v>0</v>
      </c>
      <c r="AT73" s="215">
        <f t="shared" si="26"/>
        <v>0</v>
      </c>
      <c r="AU73" s="215">
        <f t="shared" si="26"/>
        <v>0</v>
      </c>
      <c r="AV73" s="215">
        <f t="shared" si="26"/>
        <v>0</v>
      </c>
      <c r="AW73" s="215">
        <f t="shared" si="26"/>
        <v>0</v>
      </c>
      <c r="AX73" s="215">
        <f t="shared" si="26"/>
        <v>0</v>
      </c>
      <c r="AY73" s="215">
        <f t="shared" si="26"/>
        <v>0</v>
      </c>
      <c r="AZ73" s="215">
        <f t="shared" si="26"/>
        <v>0</v>
      </c>
      <c r="BA73" s="215">
        <f t="shared" si="26"/>
        <v>0</v>
      </c>
      <c r="BB73" s="215">
        <f t="shared" si="26"/>
        <v>0</v>
      </c>
      <c r="BC73" s="215">
        <f t="shared" si="26"/>
        <v>0</v>
      </c>
      <c r="BD73" s="215">
        <f t="shared" si="26"/>
        <v>0</v>
      </c>
      <c r="BE73" s="215">
        <f t="shared" si="26"/>
        <v>0</v>
      </c>
      <c r="BF73" s="211"/>
      <c r="BG73" s="212"/>
      <c r="BH73" s="211">
        <f t="shared" si="27"/>
        <v>0</v>
      </c>
      <c r="BI73" s="211">
        <f t="shared" si="28"/>
        <v>0</v>
      </c>
      <c r="BJ73" s="211">
        <f t="shared" si="28"/>
        <v>0</v>
      </c>
      <c r="BK73" s="211">
        <f t="shared" si="28"/>
        <v>0</v>
      </c>
      <c r="BL73" s="211">
        <f t="shared" si="28"/>
        <v>0</v>
      </c>
      <c r="BM73" s="211">
        <f t="shared" si="28"/>
        <v>0</v>
      </c>
      <c r="BN73" s="211">
        <f t="shared" si="28"/>
        <v>0</v>
      </c>
      <c r="BO73" s="211">
        <f t="shared" si="28"/>
        <v>0</v>
      </c>
      <c r="BP73" s="211">
        <f t="shared" si="28"/>
        <v>0</v>
      </c>
      <c r="BQ73" s="211">
        <f t="shared" si="28"/>
        <v>0</v>
      </c>
      <c r="BR73" s="211">
        <f t="shared" si="28"/>
        <v>0</v>
      </c>
      <c r="BS73" s="211">
        <f t="shared" si="28"/>
        <v>0</v>
      </c>
      <c r="BT73" s="211">
        <f t="shared" si="28"/>
        <v>0</v>
      </c>
      <c r="BU73" s="211">
        <f t="shared" si="28"/>
        <v>0</v>
      </c>
      <c r="BV73" s="211">
        <f t="shared" si="28"/>
        <v>0</v>
      </c>
      <c r="BW73" s="211">
        <f t="shared" si="28"/>
        <v>0</v>
      </c>
      <c r="BX73" s="211">
        <f t="shared" si="28"/>
        <v>0</v>
      </c>
      <c r="BY73" s="211">
        <f t="shared" si="28"/>
        <v>0</v>
      </c>
      <c r="BZ73" s="211">
        <f t="shared" si="28"/>
        <v>0</v>
      </c>
      <c r="CA73" s="211">
        <f t="shared" si="28"/>
        <v>0</v>
      </c>
      <c r="CB73" s="211">
        <f t="shared" si="28"/>
        <v>0</v>
      </c>
      <c r="CC73" s="211">
        <f t="shared" si="28"/>
        <v>0</v>
      </c>
      <c r="CD73" s="211">
        <f t="shared" si="28"/>
        <v>0</v>
      </c>
      <c r="CE73" s="211">
        <f t="shared" si="28"/>
        <v>0</v>
      </c>
      <c r="CF73" s="211">
        <f t="shared" si="28"/>
        <v>0</v>
      </c>
      <c r="CG73" s="211"/>
      <c r="CH73" s="211"/>
      <c r="CI73" s="212"/>
      <c r="CJ73" s="211">
        <f t="shared" si="29"/>
        <v>0</v>
      </c>
      <c r="CK73" s="215">
        <f t="shared" si="30"/>
        <v>0</v>
      </c>
      <c r="CL73" s="215">
        <f t="shared" si="30"/>
        <v>0</v>
      </c>
      <c r="CM73" s="215">
        <f t="shared" si="30"/>
        <v>0</v>
      </c>
      <c r="CN73" s="215">
        <f t="shared" si="30"/>
        <v>0</v>
      </c>
      <c r="CO73" s="215">
        <f t="shared" si="30"/>
        <v>0</v>
      </c>
      <c r="CP73" s="215">
        <f t="shared" si="30"/>
        <v>0</v>
      </c>
      <c r="CQ73" s="215">
        <f t="shared" si="30"/>
        <v>0</v>
      </c>
      <c r="CR73" s="215">
        <f t="shared" si="30"/>
        <v>0</v>
      </c>
      <c r="CS73" s="215">
        <f t="shared" si="30"/>
        <v>0</v>
      </c>
      <c r="CT73" s="215">
        <f t="shared" si="30"/>
        <v>0</v>
      </c>
      <c r="CU73" s="215">
        <f t="shared" si="30"/>
        <v>0</v>
      </c>
      <c r="CV73" s="215">
        <f t="shared" si="30"/>
        <v>0</v>
      </c>
      <c r="CW73" s="215">
        <f t="shared" si="30"/>
        <v>0</v>
      </c>
      <c r="CX73" s="215">
        <f t="shared" si="30"/>
        <v>0</v>
      </c>
      <c r="CY73" s="215">
        <f t="shared" si="30"/>
        <v>0</v>
      </c>
      <c r="CZ73" s="215">
        <f t="shared" si="30"/>
        <v>0</v>
      </c>
      <c r="DA73" s="215">
        <f t="shared" si="30"/>
        <v>0</v>
      </c>
      <c r="DB73" s="215">
        <f t="shared" si="30"/>
        <v>0</v>
      </c>
      <c r="DC73" s="215">
        <f t="shared" si="30"/>
        <v>0</v>
      </c>
      <c r="DD73" s="215">
        <f t="shared" si="30"/>
        <v>0</v>
      </c>
      <c r="DE73" s="215">
        <f t="shared" si="30"/>
        <v>0</v>
      </c>
      <c r="DF73" s="215">
        <f t="shared" si="30"/>
        <v>0</v>
      </c>
      <c r="DG73" s="215">
        <f t="shared" si="30"/>
        <v>0</v>
      </c>
      <c r="DH73" s="215">
        <f t="shared" si="30"/>
        <v>0</v>
      </c>
      <c r="DI73" s="211"/>
      <c r="DJ73" s="211"/>
      <c r="DK73" s="212"/>
      <c r="DL73" s="211">
        <f t="shared" si="31"/>
        <v>0</v>
      </c>
      <c r="DM73" s="215">
        <f t="shared" si="32"/>
        <v>0</v>
      </c>
      <c r="DN73" s="215">
        <f t="shared" si="32"/>
        <v>0</v>
      </c>
      <c r="DO73" s="215">
        <f t="shared" si="32"/>
        <v>0</v>
      </c>
      <c r="DP73" s="215">
        <f t="shared" si="32"/>
        <v>0</v>
      </c>
      <c r="DQ73" s="215">
        <f t="shared" si="32"/>
        <v>0</v>
      </c>
      <c r="DR73" s="215">
        <f t="shared" si="32"/>
        <v>0</v>
      </c>
      <c r="DS73" s="215">
        <f t="shared" si="32"/>
        <v>0</v>
      </c>
      <c r="DT73" s="215">
        <f t="shared" si="32"/>
        <v>0</v>
      </c>
      <c r="DU73" s="215">
        <f t="shared" si="32"/>
        <v>0</v>
      </c>
      <c r="DV73" s="215">
        <f t="shared" si="32"/>
        <v>0</v>
      </c>
      <c r="DW73" s="215">
        <f t="shared" si="32"/>
        <v>0</v>
      </c>
      <c r="DX73" s="215">
        <f t="shared" si="32"/>
        <v>0</v>
      </c>
      <c r="DY73" s="215">
        <f t="shared" si="32"/>
        <v>0</v>
      </c>
      <c r="DZ73" s="215">
        <f t="shared" si="32"/>
        <v>0</v>
      </c>
      <c r="EA73" s="215">
        <f t="shared" si="32"/>
        <v>0</v>
      </c>
      <c r="EB73" s="215">
        <f t="shared" si="32"/>
        <v>0</v>
      </c>
      <c r="EC73" s="215">
        <f t="shared" si="32"/>
        <v>0</v>
      </c>
      <c r="ED73" s="215">
        <f t="shared" si="32"/>
        <v>0</v>
      </c>
      <c r="EE73" s="215">
        <f t="shared" si="32"/>
        <v>0</v>
      </c>
      <c r="EF73" s="215">
        <f t="shared" si="32"/>
        <v>0</v>
      </c>
      <c r="EG73" s="215">
        <f t="shared" si="32"/>
        <v>0</v>
      </c>
      <c r="EH73" s="215">
        <f t="shared" si="32"/>
        <v>0</v>
      </c>
      <c r="EI73" s="215">
        <f t="shared" si="32"/>
        <v>0</v>
      </c>
      <c r="EJ73" s="215">
        <f t="shared" si="32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5"/>
        <v>lot6</v>
      </c>
      <c r="AH74" s="215">
        <f t="shared" si="26"/>
        <v>0</v>
      </c>
      <c r="AI74" s="215">
        <f t="shared" si="26"/>
        <v>0</v>
      </c>
      <c r="AJ74" s="215">
        <f t="shared" si="26"/>
        <v>0</v>
      </c>
      <c r="AK74" s="215">
        <f t="shared" si="26"/>
        <v>0</v>
      </c>
      <c r="AL74" s="215">
        <f t="shared" si="26"/>
        <v>0</v>
      </c>
      <c r="AM74" s="215">
        <f t="shared" si="26"/>
        <v>0</v>
      </c>
      <c r="AN74" s="215">
        <f t="shared" si="26"/>
        <v>0</v>
      </c>
      <c r="AO74" s="215">
        <f t="shared" si="26"/>
        <v>0</v>
      </c>
      <c r="AP74" s="215">
        <f t="shared" si="26"/>
        <v>0</v>
      </c>
      <c r="AQ74" s="215">
        <f t="shared" si="26"/>
        <v>0</v>
      </c>
      <c r="AR74" s="215">
        <f t="shared" si="26"/>
        <v>0</v>
      </c>
      <c r="AS74" s="215">
        <f t="shared" si="26"/>
        <v>0</v>
      </c>
      <c r="AT74" s="215">
        <f t="shared" si="26"/>
        <v>0</v>
      </c>
      <c r="AU74" s="215">
        <f t="shared" si="26"/>
        <v>0</v>
      </c>
      <c r="AV74" s="215">
        <f t="shared" si="26"/>
        <v>0</v>
      </c>
      <c r="AW74" s="215">
        <f t="shared" si="26"/>
        <v>0</v>
      </c>
      <c r="AX74" s="215">
        <f t="shared" si="26"/>
        <v>0</v>
      </c>
      <c r="AY74" s="215">
        <f t="shared" si="26"/>
        <v>0</v>
      </c>
      <c r="AZ74" s="215">
        <f t="shared" si="26"/>
        <v>0</v>
      </c>
      <c r="BA74" s="215">
        <f t="shared" si="26"/>
        <v>0</v>
      </c>
      <c r="BB74" s="215">
        <f t="shared" si="26"/>
        <v>0</v>
      </c>
      <c r="BC74" s="215">
        <f t="shared" si="26"/>
        <v>0</v>
      </c>
      <c r="BD74" s="215">
        <f t="shared" si="26"/>
        <v>0</v>
      </c>
      <c r="BE74" s="215">
        <f t="shared" si="26"/>
        <v>0</v>
      </c>
      <c r="BF74" s="211"/>
      <c r="BG74" s="212"/>
      <c r="BH74" s="211">
        <f t="shared" si="27"/>
        <v>0</v>
      </c>
      <c r="BI74" s="211">
        <f t="shared" si="28"/>
        <v>0</v>
      </c>
      <c r="BJ74" s="211">
        <f t="shared" si="28"/>
        <v>0</v>
      </c>
      <c r="BK74" s="211">
        <f t="shared" si="28"/>
        <v>0</v>
      </c>
      <c r="BL74" s="211">
        <f t="shared" si="28"/>
        <v>0</v>
      </c>
      <c r="BM74" s="211">
        <f t="shared" si="28"/>
        <v>0</v>
      </c>
      <c r="BN74" s="211">
        <f t="shared" si="28"/>
        <v>0</v>
      </c>
      <c r="BO74" s="211">
        <f t="shared" si="28"/>
        <v>0</v>
      </c>
      <c r="BP74" s="211">
        <f t="shared" si="28"/>
        <v>0</v>
      </c>
      <c r="BQ74" s="211">
        <f t="shared" si="28"/>
        <v>0</v>
      </c>
      <c r="BR74" s="211">
        <f t="shared" si="28"/>
        <v>0</v>
      </c>
      <c r="BS74" s="211">
        <f t="shared" si="28"/>
        <v>0</v>
      </c>
      <c r="BT74" s="211">
        <f t="shared" si="28"/>
        <v>0</v>
      </c>
      <c r="BU74" s="211">
        <f t="shared" si="28"/>
        <v>0</v>
      </c>
      <c r="BV74" s="211">
        <f t="shared" si="28"/>
        <v>0</v>
      </c>
      <c r="BW74" s="211">
        <f t="shared" si="28"/>
        <v>0</v>
      </c>
      <c r="BX74" s="211">
        <f t="shared" si="28"/>
        <v>0</v>
      </c>
      <c r="BY74" s="211">
        <f t="shared" si="28"/>
        <v>0</v>
      </c>
      <c r="BZ74" s="211">
        <f t="shared" si="28"/>
        <v>0</v>
      </c>
      <c r="CA74" s="211">
        <f t="shared" si="28"/>
        <v>0</v>
      </c>
      <c r="CB74" s="211">
        <f t="shared" si="28"/>
        <v>0</v>
      </c>
      <c r="CC74" s="211">
        <f t="shared" si="28"/>
        <v>0</v>
      </c>
      <c r="CD74" s="211">
        <f t="shared" si="28"/>
        <v>0</v>
      </c>
      <c r="CE74" s="211">
        <f t="shared" si="28"/>
        <v>0</v>
      </c>
      <c r="CF74" s="211">
        <f t="shared" si="28"/>
        <v>0</v>
      </c>
      <c r="CG74" s="211"/>
      <c r="CH74" s="211"/>
      <c r="CI74" s="212"/>
      <c r="CJ74" s="211">
        <f t="shared" si="29"/>
        <v>0</v>
      </c>
      <c r="CK74" s="215">
        <f t="shared" si="30"/>
        <v>0</v>
      </c>
      <c r="CL74" s="215">
        <f t="shared" si="30"/>
        <v>0</v>
      </c>
      <c r="CM74" s="215">
        <f t="shared" si="30"/>
        <v>0</v>
      </c>
      <c r="CN74" s="215">
        <f t="shared" si="30"/>
        <v>0</v>
      </c>
      <c r="CO74" s="215">
        <f t="shared" si="30"/>
        <v>0</v>
      </c>
      <c r="CP74" s="215">
        <f t="shared" si="30"/>
        <v>0</v>
      </c>
      <c r="CQ74" s="215">
        <f t="shared" si="30"/>
        <v>0</v>
      </c>
      <c r="CR74" s="215">
        <f t="shared" si="30"/>
        <v>0</v>
      </c>
      <c r="CS74" s="215">
        <f t="shared" si="30"/>
        <v>0</v>
      </c>
      <c r="CT74" s="215">
        <f t="shared" si="30"/>
        <v>0</v>
      </c>
      <c r="CU74" s="215">
        <f t="shared" si="30"/>
        <v>0</v>
      </c>
      <c r="CV74" s="215">
        <f t="shared" si="30"/>
        <v>0</v>
      </c>
      <c r="CW74" s="215">
        <f t="shared" si="30"/>
        <v>0</v>
      </c>
      <c r="CX74" s="215">
        <f t="shared" si="30"/>
        <v>0</v>
      </c>
      <c r="CY74" s="215">
        <f t="shared" si="30"/>
        <v>0</v>
      </c>
      <c r="CZ74" s="215">
        <f t="shared" si="30"/>
        <v>0</v>
      </c>
      <c r="DA74" s="215">
        <f t="shared" si="30"/>
        <v>0</v>
      </c>
      <c r="DB74" s="215">
        <f t="shared" si="30"/>
        <v>0</v>
      </c>
      <c r="DC74" s="215">
        <f t="shared" si="30"/>
        <v>0</v>
      </c>
      <c r="DD74" s="215">
        <f t="shared" si="30"/>
        <v>0</v>
      </c>
      <c r="DE74" s="215">
        <f t="shared" si="30"/>
        <v>0</v>
      </c>
      <c r="DF74" s="215">
        <f t="shared" si="30"/>
        <v>0</v>
      </c>
      <c r="DG74" s="215">
        <f t="shared" si="30"/>
        <v>0</v>
      </c>
      <c r="DH74" s="215">
        <f t="shared" si="30"/>
        <v>0</v>
      </c>
      <c r="DI74" s="211"/>
      <c r="DJ74" s="211"/>
      <c r="DK74" s="212"/>
      <c r="DL74" s="211">
        <f t="shared" si="31"/>
        <v>0</v>
      </c>
      <c r="DM74" s="215">
        <f t="shared" si="32"/>
        <v>0</v>
      </c>
      <c r="DN74" s="215">
        <f t="shared" si="32"/>
        <v>0</v>
      </c>
      <c r="DO74" s="215">
        <f t="shared" si="32"/>
        <v>0</v>
      </c>
      <c r="DP74" s="215">
        <f t="shared" si="32"/>
        <v>0</v>
      </c>
      <c r="DQ74" s="215">
        <f t="shared" si="32"/>
        <v>0</v>
      </c>
      <c r="DR74" s="215">
        <f t="shared" si="32"/>
        <v>0</v>
      </c>
      <c r="DS74" s="215">
        <f t="shared" si="32"/>
        <v>0</v>
      </c>
      <c r="DT74" s="215">
        <f t="shared" si="32"/>
        <v>0</v>
      </c>
      <c r="DU74" s="215">
        <f t="shared" si="32"/>
        <v>0</v>
      </c>
      <c r="DV74" s="215">
        <f t="shared" si="32"/>
        <v>0</v>
      </c>
      <c r="DW74" s="215">
        <f t="shared" si="32"/>
        <v>0</v>
      </c>
      <c r="DX74" s="215">
        <f t="shared" si="32"/>
        <v>0</v>
      </c>
      <c r="DY74" s="215">
        <f t="shared" si="32"/>
        <v>0</v>
      </c>
      <c r="DZ74" s="215">
        <f t="shared" si="32"/>
        <v>0</v>
      </c>
      <c r="EA74" s="215">
        <f t="shared" si="32"/>
        <v>0</v>
      </c>
      <c r="EB74" s="215">
        <f t="shared" si="32"/>
        <v>0</v>
      </c>
      <c r="EC74" s="215">
        <f t="shared" si="32"/>
        <v>0</v>
      </c>
      <c r="ED74" s="215">
        <f t="shared" si="32"/>
        <v>0</v>
      </c>
      <c r="EE74" s="215">
        <f t="shared" si="32"/>
        <v>0</v>
      </c>
      <c r="EF74" s="215">
        <f t="shared" si="32"/>
        <v>0</v>
      </c>
      <c r="EG74" s="215">
        <f t="shared" si="32"/>
        <v>0</v>
      </c>
      <c r="EH74" s="215">
        <f t="shared" si="32"/>
        <v>0</v>
      </c>
      <c r="EI74" s="215">
        <f t="shared" si="32"/>
        <v>0</v>
      </c>
      <c r="EJ74" s="215">
        <f t="shared" si="32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5"/>
        <v>lot7</v>
      </c>
      <c r="AH75" s="215">
        <f t="shared" si="26"/>
        <v>0</v>
      </c>
      <c r="AI75" s="215">
        <f t="shared" si="26"/>
        <v>0</v>
      </c>
      <c r="AJ75" s="215">
        <f t="shared" si="26"/>
        <v>0</v>
      </c>
      <c r="AK75" s="215">
        <f t="shared" si="26"/>
        <v>0</v>
      </c>
      <c r="AL75" s="215">
        <f t="shared" si="26"/>
        <v>0</v>
      </c>
      <c r="AM75" s="215">
        <f t="shared" si="26"/>
        <v>0</v>
      </c>
      <c r="AN75" s="215">
        <f t="shared" si="26"/>
        <v>0</v>
      </c>
      <c r="AO75" s="215">
        <f t="shared" si="26"/>
        <v>0</v>
      </c>
      <c r="AP75" s="215">
        <f t="shared" si="26"/>
        <v>0</v>
      </c>
      <c r="AQ75" s="215">
        <f t="shared" si="26"/>
        <v>0</v>
      </c>
      <c r="AR75" s="215">
        <f t="shared" si="26"/>
        <v>0</v>
      </c>
      <c r="AS75" s="215">
        <f t="shared" si="26"/>
        <v>0</v>
      </c>
      <c r="AT75" s="215">
        <f t="shared" si="26"/>
        <v>0</v>
      </c>
      <c r="AU75" s="215">
        <f t="shared" si="26"/>
        <v>0</v>
      </c>
      <c r="AV75" s="215">
        <f t="shared" si="26"/>
        <v>0</v>
      </c>
      <c r="AW75" s="215">
        <f t="shared" si="26"/>
        <v>0</v>
      </c>
      <c r="AX75" s="215">
        <f t="shared" si="26"/>
        <v>0</v>
      </c>
      <c r="AY75" s="215">
        <f t="shared" si="26"/>
        <v>0</v>
      </c>
      <c r="AZ75" s="215">
        <f t="shared" si="26"/>
        <v>0</v>
      </c>
      <c r="BA75" s="215">
        <f t="shared" si="26"/>
        <v>0</v>
      </c>
      <c r="BB75" s="215">
        <f t="shared" si="26"/>
        <v>0</v>
      </c>
      <c r="BC75" s="215">
        <f t="shared" si="26"/>
        <v>0</v>
      </c>
      <c r="BD75" s="215">
        <f t="shared" si="26"/>
        <v>0</v>
      </c>
      <c r="BE75" s="215">
        <f t="shared" si="26"/>
        <v>0</v>
      </c>
      <c r="BF75" s="211"/>
      <c r="BG75" s="212"/>
      <c r="BH75" s="211">
        <f t="shared" si="27"/>
        <v>0</v>
      </c>
      <c r="BI75" s="211">
        <f t="shared" si="28"/>
        <v>0</v>
      </c>
      <c r="BJ75" s="211">
        <f t="shared" si="28"/>
        <v>0</v>
      </c>
      <c r="BK75" s="211">
        <f t="shared" si="28"/>
        <v>0</v>
      </c>
      <c r="BL75" s="211">
        <f t="shared" si="28"/>
        <v>0</v>
      </c>
      <c r="BM75" s="211">
        <f t="shared" si="28"/>
        <v>0</v>
      </c>
      <c r="BN75" s="211">
        <f t="shared" si="28"/>
        <v>0</v>
      </c>
      <c r="BO75" s="211">
        <f t="shared" si="28"/>
        <v>0</v>
      </c>
      <c r="BP75" s="211">
        <f t="shared" si="28"/>
        <v>0</v>
      </c>
      <c r="BQ75" s="211">
        <f t="shared" si="28"/>
        <v>0</v>
      </c>
      <c r="BR75" s="211">
        <f t="shared" si="28"/>
        <v>0</v>
      </c>
      <c r="BS75" s="211">
        <f t="shared" si="28"/>
        <v>0</v>
      </c>
      <c r="BT75" s="211">
        <f t="shared" si="28"/>
        <v>0</v>
      </c>
      <c r="BU75" s="211">
        <f t="shared" si="28"/>
        <v>0</v>
      </c>
      <c r="BV75" s="211">
        <f t="shared" si="28"/>
        <v>0</v>
      </c>
      <c r="BW75" s="211">
        <f t="shared" si="28"/>
        <v>0</v>
      </c>
      <c r="BX75" s="211">
        <f t="shared" si="28"/>
        <v>0</v>
      </c>
      <c r="BY75" s="211">
        <f t="shared" si="28"/>
        <v>0</v>
      </c>
      <c r="BZ75" s="211">
        <f t="shared" si="28"/>
        <v>0</v>
      </c>
      <c r="CA75" s="211">
        <f t="shared" si="28"/>
        <v>0</v>
      </c>
      <c r="CB75" s="211">
        <f t="shared" si="28"/>
        <v>0</v>
      </c>
      <c r="CC75" s="211">
        <f t="shared" si="28"/>
        <v>0</v>
      </c>
      <c r="CD75" s="211">
        <f t="shared" si="28"/>
        <v>0</v>
      </c>
      <c r="CE75" s="211">
        <f t="shared" si="28"/>
        <v>0</v>
      </c>
      <c r="CF75" s="211">
        <f t="shared" si="28"/>
        <v>0</v>
      </c>
      <c r="CG75" s="211"/>
      <c r="CH75" s="211"/>
      <c r="CI75" s="212"/>
      <c r="CJ75" s="211">
        <f t="shared" si="29"/>
        <v>0</v>
      </c>
      <c r="CK75" s="215">
        <f t="shared" si="30"/>
        <v>0</v>
      </c>
      <c r="CL75" s="215">
        <f t="shared" si="30"/>
        <v>0</v>
      </c>
      <c r="CM75" s="215">
        <f t="shared" si="30"/>
        <v>0</v>
      </c>
      <c r="CN75" s="215">
        <f t="shared" si="30"/>
        <v>0</v>
      </c>
      <c r="CO75" s="215">
        <f t="shared" si="30"/>
        <v>0</v>
      </c>
      <c r="CP75" s="215">
        <f t="shared" si="30"/>
        <v>0</v>
      </c>
      <c r="CQ75" s="215">
        <f t="shared" si="30"/>
        <v>0</v>
      </c>
      <c r="CR75" s="215">
        <f t="shared" si="30"/>
        <v>0</v>
      </c>
      <c r="CS75" s="215">
        <f t="shared" si="30"/>
        <v>0</v>
      </c>
      <c r="CT75" s="215">
        <f t="shared" si="30"/>
        <v>0</v>
      </c>
      <c r="CU75" s="215">
        <f t="shared" si="30"/>
        <v>0</v>
      </c>
      <c r="CV75" s="215">
        <f t="shared" si="30"/>
        <v>0</v>
      </c>
      <c r="CW75" s="215">
        <f t="shared" si="30"/>
        <v>0</v>
      </c>
      <c r="CX75" s="215">
        <f t="shared" si="30"/>
        <v>0</v>
      </c>
      <c r="CY75" s="215">
        <f t="shared" si="30"/>
        <v>0</v>
      </c>
      <c r="CZ75" s="215">
        <f t="shared" si="30"/>
        <v>0</v>
      </c>
      <c r="DA75" s="215">
        <f t="shared" si="30"/>
        <v>0</v>
      </c>
      <c r="DB75" s="215">
        <f t="shared" si="30"/>
        <v>0</v>
      </c>
      <c r="DC75" s="215">
        <f t="shared" si="30"/>
        <v>0</v>
      </c>
      <c r="DD75" s="215">
        <f t="shared" si="30"/>
        <v>0</v>
      </c>
      <c r="DE75" s="215">
        <f t="shared" si="30"/>
        <v>0</v>
      </c>
      <c r="DF75" s="215">
        <f t="shared" si="30"/>
        <v>0</v>
      </c>
      <c r="DG75" s="215">
        <f t="shared" si="30"/>
        <v>0</v>
      </c>
      <c r="DH75" s="215">
        <f t="shared" si="30"/>
        <v>0</v>
      </c>
      <c r="DI75" s="211"/>
      <c r="DJ75" s="211"/>
      <c r="DK75" s="212"/>
      <c r="DL75" s="211">
        <f t="shared" si="31"/>
        <v>0</v>
      </c>
      <c r="DM75" s="215">
        <f t="shared" si="32"/>
        <v>0</v>
      </c>
      <c r="DN75" s="215">
        <f t="shared" si="32"/>
        <v>0</v>
      </c>
      <c r="DO75" s="215">
        <f t="shared" si="32"/>
        <v>0</v>
      </c>
      <c r="DP75" s="215">
        <f t="shared" si="32"/>
        <v>0</v>
      </c>
      <c r="DQ75" s="215">
        <f t="shared" si="32"/>
        <v>0</v>
      </c>
      <c r="DR75" s="215">
        <f t="shared" si="32"/>
        <v>0</v>
      </c>
      <c r="DS75" s="215">
        <f t="shared" si="32"/>
        <v>0</v>
      </c>
      <c r="DT75" s="215">
        <f t="shared" si="32"/>
        <v>0</v>
      </c>
      <c r="DU75" s="215">
        <f t="shared" si="32"/>
        <v>0</v>
      </c>
      <c r="DV75" s="215">
        <f t="shared" si="32"/>
        <v>0</v>
      </c>
      <c r="DW75" s="215">
        <f t="shared" si="32"/>
        <v>0</v>
      </c>
      <c r="DX75" s="215">
        <f t="shared" si="32"/>
        <v>0</v>
      </c>
      <c r="DY75" s="215">
        <f t="shared" si="32"/>
        <v>0</v>
      </c>
      <c r="DZ75" s="215">
        <f t="shared" si="32"/>
        <v>0</v>
      </c>
      <c r="EA75" s="215">
        <f t="shared" si="32"/>
        <v>0</v>
      </c>
      <c r="EB75" s="215">
        <f t="shared" si="32"/>
        <v>0</v>
      </c>
      <c r="EC75" s="215">
        <f t="shared" si="32"/>
        <v>0</v>
      </c>
      <c r="ED75" s="215">
        <f t="shared" si="32"/>
        <v>0</v>
      </c>
      <c r="EE75" s="215">
        <f t="shared" si="32"/>
        <v>0</v>
      </c>
      <c r="EF75" s="215">
        <f t="shared" si="32"/>
        <v>0</v>
      </c>
      <c r="EG75" s="215">
        <f t="shared" si="32"/>
        <v>0</v>
      </c>
      <c r="EH75" s="215">
        <f t="shared" si="32"/>
        <v>0</v>
      </c>
      <c r="EI75" s="215">
        <f t="shared" si="32"/>
        <v>0</v>
      </c>
      <c r="EJ75" s="215">
        <f t="shared" si="32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5"/>
        <v>lot8</v>
      </c>
      <c r="AH76" s="215">
        <f t="shared" si="26"/>
        <v>0</v>
      </c>
      <c r="AI76" s="215">
        <f t="shared" si="26"/>
        <v>0</v>
      </c>
      <c r="AJ76" s="215">
        <f t="shared" si="26"/>
        <v>0</v>
      </c>
      <c r="AK76" s="215">
        <f t="shared" si="26"/>
        <v>0</v>
      </c>
      <c r="AL76" s="215">
        <f t="shared" si="26"/>
        <v>0</v>
      </c>
      <c r="AM76" s="215">
        <f t="shared" si="26"/>
        <v>0</v>
      </c>
      <c r="AN76" s="215">
        <f t="shared" si="26"/>
        <v>0</v>
      </c>
      <c r="AO76" s="215">
        <f t="shared" si="26"/>
        <v>0</v>
      </c>
      <c r="AP76" s="215">
        <f t="shared" si="26"/>
        <v>0</v>
      </c>
      <c r="AQ76" s="215">
        <f t="shared" si="26"/>
        <v>0</v>
      </c>
      <c r="AR76" s="215">
        <f t="shared" si="26"/>
        <v>0</v>
      </c>
      <c r="AS76" s="215">
        <f t="shared" si="26"/>
        <v>0</v>
      </c>
      <c r="AT76" s="215">
        <f t="shared" si="26"/>
        <v>0</v>
      </c>
      <c r="AU76" s="215">
        <f t="shared" si="26"/>
        <v>0</v>
      </c>
      <c r="AV76" s="215">
        <f t="shared" si="26"/>
        <v>0</v>
      </c>
      <c r="AW76" s="215">
        <f t="shared" si="26"/>
        <v>0</v>
      </c>
      <c r="AX76" s="215">
        <f t="shared" si="26"/>
        <v>0</v>
      </c>
      <c r="AY76" s="215">
        <f t="shared" si="26"/>
        <v>0</v>
      </c>
      <c r="AZ76" s="215">
        <f t="shared" si="26"/>
        <v>0</v>
      </c>
      <c r="BA76" s="215">
        <f t="shared" si="26"/>
        <v>0</v>
      </c>
      <c r="BB76" s="215">
        <f t="shared" si="26"/>
        <v>0</v>
      </c>
      <c r="BC76" s="215">
        <f t="shared" si="26"/>
        <v>0</v>
      </c>
      <c r="BD76" s="215">
        <f t="shared" si="26"/>
        <v>0</v>
      </c>
      <c r="BE76" s="215">
        <f t="shared" si="26"/>
        <v>0</v>
      </c>
      <c r="BF76" s="211"/>
      <c r="BG76" s="212"/>
      <c r="BH76" s="211">
        <f t="shared" si="27"/>
        <v>0</v>
      </c>
      <c r="BI76" s="211">
        <f t="shared" si="28"/>
        <v>0</v>
      </c>
      <c r="BJ76" s="211">
        <f t="shared" si="28"/>
        <v>0</v>
      </c>
      <c r="BK76" s="211">
        <f t="shared" si="28"/>
        <v>0</v>
      </c>
      <c r="BL76" s="211">
        <f t="shared" si="28"/>
        <v>0</v>
      </c>
      <c r="BM76" s="211">
        <f t="shared" si="28"/>
        <v>0</v>
      </c>
      <c r="BN76" s="211">
        <f t="shared" si="28"/>
        <v>0</v>
      </c>
      <c r="BO76" s="211">
        <f t="shared" si="28"/>
        <v>0</v>
      </c>
      <c r="BP76" s="211">
        <f t="shared" si="28"/>
        <v>0</v>
      </c>
      <c r="BQ76" s="211">
        <f t="shared" si="28"/>
        <v>0</v>
      </c>
      <c r="BR76" s="211">
        <f t="shared" si="28"/>
        <v>0</v>
      </c>
      <c r="BS76" s="211">
        <f t="shared" si="28"/>
        <v>0</v>
      </c>
      <c r="BT76" s="211">
        <f t="shared" si="28"/>
        <v>0</v>
      </c>
      <c r="BU76" s="211">
        <f t="shared" si="28"/>
        <v>0</v>
      </c>
      <c r="BV76" s="211">
        <f t="shared" si="28"/>
        <v>0</v>
      </c>
      <c r="BW76" s="211">
        <f t="shared" si="28"/>
        <v>0</v>
      </c>
      <c r="BX76" s="211">
        <f t="shared" si="28"/>
        <v>0</v>
      </c>
      <c r="BY76" s="211">
        <f t="shared" si="28"/>
        <v>0</v>
      </c>
      <c r="BZ76" s="211">
        <f t="shared" si="28"/>
        <v>0</v>
      </c>
      <c r="CA76" s="211">
        <f t="shared" si="28"/>
        <v>0</v>
      </c>
      <c r="CB76" s="211">
        <f t="shared" si="28"/>
        <v>0</v>
      </c>
      <c r="CC76" s="211">
        <f t="shared" si="28"/>
        <v>0</v>
      </c>
      <c r="CD76" s="211">
        <f t="shared" si="28"/>
        <v>0</v>
      </c>
      <c r="CE76" s="211">
        <f t="shared" si="28"/>
        <v>0</v>
      </c>
      <c r="CF76" s="211">
        <f t="shared" si="28"/>
        <v>0</v>
      </c>
      <c r="CG76" s="211"/>
      <c r="CH76" s="211"/>
      <c r="CI76" s="212"/>
      <c r="CJ76" s="211">
        <f t="shared" si="29"/>
        <v>0</v>
      </c>
      <c r="CK76" s="215">
        <f t="shared" si="30"/>
        <v>0</v>
      </c>
      <c r="CL76" s="215">
        <f t="shared" si="30"/>
        <v>0</v>
      </c>
      <c r="CM76" s="215">
        <f t="shared" si="30"/>
        <v>0</v>
      </c>
      <c r="CN76" s="215">
        <f t="shared" si="30"/>
        <v>0</v>
      </c>
      <c r="CO76" s="215">
        <f t="shared" si="30"/>
        <v>0</v>
      </c>
      <c r="CP76" s="215">
        <f t="shared" si="30"/>
        <v>0</v>
      </c>
      <c r="CQ76" s="215">
        <f t="shared" si="30"/>
        <v>0</v>
      </c>
      <c r="CR76" s="215">
        <f t="shared" si="30"/>
        <v>0</v>
      </c>
      <c r="CS76" s="215">
        <f t="shared" si="30"/>
        <v>0</v>
      </c>
      <c r="CT76" s="215">
        <f t="shared" si="30"/>
        <v>0</v>
      </c>
      <c r="CU76" s="215">
        <f t="shared" si="30"/>
        <v>0</v>
      </c>
      <c r="CV76" s="215">
        <f t="shared" si="30"/>
        <v>0</v>
      </c>
      <c r="CW76" s="215">
        <f t="shared" si="30"/>
        <v>0</v>
      </c>
      <c r="CX76" s="215">
        <f t="shared" si="30"/>
        <v>0</v>
      </c>
      <c r="CY76" s="215">
        <f t="shared" si="30"/>
        <v>0</v>
      </c>
      <c r="CZ76" s="215">
        <f t="shared" si="30"/>
        <v>0</v>
      </c>
      <c r="DA76" s="215">
        <f t="shared" si="30"/>
        <v>0</v>
      </c>
      <c r="DB76" s="215">
        <f t="shared" si="30"/>
        <v>0</v>
      </c>
      <c r="DC76" s="215">
        <f t="shared" si="30"/>
        <v>0</v>
      </c>
      <c r="DD76" s="215">
        <f t="shared" si="30"/>
        <v>0</v>
      </c>
      <c r="DE76" s="215">
        <f t="shared" si="30"/>
        <v>0</v>
      </c>
      <c r="DF76" s="215">
        <f t="shared" si="30"/>
        <v>0</v>
      </c>
      <c r="DG76" s="215">
        <f t="shared" si="30"/>
        <v>0</v>
      </c>
      <c r="DH76" s="215">
        <f t="shared" si="30"/>
        <v>0</v>
      </c>
      <c r="DI76" s="211"/>
      <c r="DJ76" s="211"/>
      <c r="DK76" s="212"/>
      <c r="DL76" s="211">
        <f t="shared" si="31"/>
        <v>0</v>
      </c>
      <c r="DM76" s="215">
        <f t="shared" si="32"/>
        <v>0</v>
      </c>
      <c r="DN76" s="215">
        <f t="shared" si="32"/>
        <v>0</v>
      </c>
      <c r="DO76" s="215">
        <f t="shared" si="32"/>
        <v>0</v>
      </c>
      <c r="DP76" s="215">
        <f t="shared" si="32"/>
        <v>0</v>
      </c>
      <c r="DQ76" s="215">
        <f t="shared" si="32"/>
        <v>0</v>
      </c>
      <c r="DR76" s="215">
        <f t="shared" si="32"/>
        <v>0</v>
      </c>
      <c r="DS76" s="215">
        <f t="shared" si="32"/>
        <v>0</v>
      </c>
      <c r="DT76" s="215">
        <f t="shared" si="32"/>
        <v>0</v>
      </c>
      <c r="DU76" s="215">
        <f t="shared" si="32"/>
        <v>0</v>
      </c>
      <c r="DV76" s="215">
        <f t="shared" si="32"/>
        <v>0</v>
      </c>
      <c r="DW76" s="215">
        <f t="shared" si="32"/>
        <v>0</v>
      </c>
      <c r="DX76" s="215">
        <f t="shared" si="32"/>
        <v>0</v>
      </c>
      <c r="DY76" s="215">
        <f t="shared" si="32"/>
        <v>0</v>
      </c>
      <c r="DZ76" s="215">
        <f t="shared" si="32"/>
        <v>0</v>
      </c>
      <c r="EA76" s="215">
        <f t="shared" si="32"/>
        <v>0</v>
      </c>
      <c r="EB76" s="215">
        <f t="shared" si="32"/>
        <v>0</v>
      </c>
      <c r="EC76" s="215">
        <f t="shared" si="32"/>
        <v>0</v>
      </c>
      <c r="ED76" s="215">
        <f t="shared" si="32"/>
        <v>0</v>
      </c>
      <c r="EE76" s="215">
        <f t="shared" si="32"/>
        <v>0</v>
      </c>
      <c r="EF76" s="215">
        <f t="shared" si="32"/>
        <v>0</v>
      </c>
      <c r="EG76" s="215">
        <f t="shared" si="32"/>
        <v>0</v>
      </c>
      <c r="EH76" s="215">
        <f t="shared" si="32"/>
        <v>0</v>
      </c>
      <c r="EI76" s="215">
        <f t="shared" si="32"/>
        <v>0</v>
      </c>
      <c r="EJ76" s="21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5"/>
        <v>lot9</v>
      </c>
      <c r="AH77" s="215">
        <f t="shared" si="26"/>
        <v>0</v>
      </c>
      <c r="AI77" s="215">
        <f t="shared" si="26"/>
        <v>0</v>
      </c>
      <c r="AJ77" s="215">
        <f t="shared" si="26"/>
        <v>0</v>
      </c>
      <c r="AK77" s="215">
        <f t="shared" si="26"/>
        <v>0</v>
      </c>
      <c r="AL77" s="215">
        <f t="shared" si="26"/>
        <v>0</v>
      </c>
      <c r="AM77" s="215">
        <f t="shared" si="26"/>
        <v>0</v>
      </c>
      <c r="AN77" s="215">
        <f t="shared" si="26"/>
        <v>0</v>
      </c>
      <c r="AO77" s="215">
        <f t="shared" si="26"/>
        <v>0</v>
      </c>
      <c r="AP77" s="215">
        <f t="shared" si="26"/>
        <v>0</v>
      </c>
      <c r="AQ77" s="215">
        <f t="shared" si="26"/>
        <v>0</v>
      </c>
      <c r="AR77" s="215">
        <f t="shared" si="26"/>
        <v>0</v>
      </c>
      <c r="AS77" s="215">
        <f t="shared" si="26"/>
        <v>0</v>
      </c>
      <c r="AT77" s="215">
        <f t="shared" si="26"/>
        <v>0</v>
      </c>
      <c r="AU77" s="215">
        <f t="shared" si="26"/>
        <v>0</v>
      </c>
      <c r="AV77" s="215">
        <f t="shared" si="26"/>
        <v>0</v>
      </c>
      <c r="AW77" s="215">
        <f t="shared" si="26"/>
        <v>0</v>
      </c>
      <c r="AX77" s="215">
        <f t="shared" si="26"/>
        <v>0</v>
      </c>
      <c r="AY77" s="215">
        <f t="shared" si="26"/>
        <v>0</v>
      </c>
      <c r="AZ77" s="215">
        <f t="shared" si="26"/>
        <v>0</v>
      </c>
      <c r="BA77" s="215">
        <f t="shared" si="26"/>
        <v>0</v>
      </c>
      <c r="BB77" s="215">
        <f t="shared" si="26"/>
        <v>0</v>
      </c>
      <c r="BC77" s="215">
        <f t="shared" si="26"/>
        <v>0</v>
      </c>
      <c r="BD77" s="215">
        <f t="shared" si="26"/>
        <v>0</v>
      </c>
      <c r="BE77" s="215">
        <f t="shared" si="26"/>
        <v>0</v>
      </c>
      <c r="BF77" s="211"/>
      <c r="BG77" s="212"/>
      <c r="BH77" s="211">
        <f t="shared" si="27"/>
        <v>0</v>
      </c>
      <c r="BI77" s="211">
        <f t="shared" si="28"/>
        <v>0</v>
      </c>
      <c r="BJ77" s="211">
        <f t="shared" si="28"/>
        <v>0</v>
      </c>
      <c r="BK77" s="211">
        <f t="shared" si="28"/>
        <v>0</v>
      </c>
      <c r="BL77" s="211">
        <f t="shared" si="28"/>
        <v>0</v>
      </c>
      <c r="BM77" s="211">
        <f t="shared" si="28"/>
        <v>0</v>
      </c>
      <c r="BN77" s="211">
        <f t="shared" si="28"/>
        <v>0</v>
      </c>
      <c r="BO77" s="211">
        <f t="shared" si="28"/>
        <v>0</v>
      </c>
      <c r="BP77" s="211">
        <f t="shared" si="28"/>
        <v>0</v>
      </c>
      <c r="BQ77" s="211">
        <f t="shared" si="28"/>
        <v>0</v>
      </c>
      <c r="BR77" s="211">
        <f t="shared" si="28"/>
        <v>0</v>
      </c>
      <c r="BS77" s="211">
        <f t="shared" si="28"/>
        <v>0</v>
      </c>
      <c r="BT77" s="211">
        <f t="shared" si="28"/>
        <v>0</v>
      </c>
      <c r="BU77" s="211">
        <f t="shared" si="28"/>
        <v>0</v>
      </c>
      <c r="BV77" s="211">
        <f t="shared" si="28"/>
        <v>0</v>
      </c>
      <c r="BW77" s="211">
        <f t="shared" si="28"/>
        <v>0</v>
      </c>
      <c r="BX77" s="211">
        <f t="shared" si="28"/>
        <v>0</v>
      </c>
      <c r="BY77" s="211">
        <f t="shared" si="28"/>
        <v>0</v>
      </c>
      <c r="BZ77" s="211">
        <f t="shared" si="28"/>
        <v>0</v>
      </c>
      <c r="CA77" s="211">
        <f t="shared" si="28"/>
        <v>0</v>
      </c>
      <c r="CB77" s="211">
        <f t="shared" si="28"/>
        <v>0</v>
      </c>
      <c r="CC77" s="211">
        <f t="shared" si="28"/>
        <v>0</v>
      </c>
      <c r="CD77" s="211">
        <f t="shared" si="28"/>
        <v>0</v>
      </c>
      <c r="CE77" s="211">
        <f t="shared" si="28"/>
        <v>0</v>
      </c>
      <c r="CF77" s="211">
        <f t="shared" si="28"/>
        <v>0</v>
      </c>
      <c r="CG77" s="211"/>
      <c r="CH77" s="211"/>
      <c r="CI77" s="212"/>
      <c r="CJ77" s="211">
        <f t="shared" si="29"/>
        <v>0</v>
      </c>
      <c r="CK77" s="215">
        <f t="shared" si="30"/>
        <v>0</v>
      </c>
      <c r="CL77" s="215">
        <f t="shared" si="30"/>
        <v>0</v>
      </c>
      <c r="CM77" s="215">
        <f t="shared" si="30"/>
        <v>0</v>
      </c>
      <c r="CN77" s="215">
        <f t="shared" si="30"/>
        <v>0</v>
      </c>
      <c r="CO77" s="215">
        <f t="shared" si="30"/>
        <v>0</v>
      </c>
      <c r="CP77" s="215">
        <f t="shared" si="30"/>
        <v>0</v>
      </c>
      <c r="CQ77" s="215">
        <f t="shared" si="30"/>
        <v>0</v>
      </c>
      <c r="CR77" s="215">
        <f t="shared" si="30"/>
        <v>0</v>
      </c>
      <c r="CS77" s="215">
        <f t="shared" si="30"/>
        <v>0</v>
      </c>
      <c r="CT77" s="215">
        <f t="shared" si="30"/>
        <v>0</v>
      </c>
      <c r="CU77" s="215">
        <f t="shared" si="30"/>
        <v>0</v>
      </c>
      <c r="CV77" s="215">
        <f t="shared" si="30"/>
        <v>0</v>
      </c>
      <c r="CW77" s="215">
        <f t="shared" si="30"/>
        <v>0</v>
      </c>
      <c r="CX77" s="215">
        <f t="shared" si="30"/>
        <v>0</v>
      </c>
      <c r="CY77" s="215">
        <f t="shared" si="30"/>
        <v>0</v>
      </c>
      <c r="CZ77" s="215">
        <f t="shared" si="30"/>
        <v>0</v>
      </c>
      <c r="DA77" s="215">
        <f t="shared" si="30"/>
        <v>0</v>
      </c>
      <c r="DB77" s="215">
        <f t="shared" si="30"/>
        <v>0</v>
      </c>
      <c r="DC77" s="215">
        <f t="shared" si="30"/>
        <v>0</v>
      </c>
      <c r="DD77" s="215">
        <f t="shared" si="30"/>
        <v>0</v>
      </c>
      <c r="DE77" s="215">
        <f t="shared" si="30"/>
        <v>0</v>
      </c>
      <c r="DF77" s="215">
        <f t="shared" si="30"/>
        <v>0</v>
      </c>
      <c r="DG77" s="215">
        <f t="shared" si="30"/>
        <v>0</v>
      </c>
      <c r="DH77" s="215">
        <f t="shared" si="30"/>
        <v>0</v>
      </c>
      <c r="DI77" s="211"/>
      <c r="DJ77" s="211"/>
      <c r="DK77" s="212"/>
      <c r="DL77" s="211">
        <f t="shared" si="31"/>
        <v>0</v>
      </c>
      <c r="DM77" s="215">
        <f t="shared" si="32"/>
        <v>0</v>
      </c>
      <c r="DN77" s="215">
        <f t="shared" si="32"/>
        <v>0</v>
      </c>
      <c r="DO77" s="215">
        <f t="shared" si="32"/>
        <v>0</v>
      </c>
      <c r="DP77" s="215">
        <f t="shared" si="32"/>
        <v>0</v>
      </c>
      <c r="DQ77" s="215">
        <f t="shared" si="32"/>
        <v>0</v>
      </c>
      <c r="DR77" s="215">
        <f t="shared" si="32"/>
        <v>0</v>
      </c>
      <c r="DS77" s="215">
        <f t="shared" si="32"/>
        <v>0</v>
      </c>
      <c r="DT77" s="215">
        <f t="shared" si="32"/>
        <v>0</v>
      </c>
      <c r="DU77" s="215">
        <f t="shared" si="32"/>
        <v>0</v>
      </c>
      <c r="DV77" s="215">
        <f t="shared" si="32"/>
        <v>0</v>
      </c>
      <c r="DW77" s="215">
        <f t="shared" si="32"/>
        <v>0</v>
      </c>
      <c r="DX77" s="215">
        <f t="shared" si="32"/>
        <v>0</v>
      </c>
      <c r="DY77" s="215">
        <f t="shared" si="32"/>
        <v>0</v>
      </c>
      <c r="DZ77" s="215">
        <f t="shared" si="32"/>
        <v>0</v>
      </c>
      <c r="EA77" s="215">
        <f t="shared" si="32"/>
        <v>0</v>
      </c>
      <c r="EB77" s="215">
        <f t="shared" si="32"/>
        <v>0</v>
      </c>
      <c r="EC77" s="215">
        <f t="shared" si="32"/>
        <v>0</v>
      </c>
      <c r="ED77" s="215">
        <f t="shared" si="32"/>
        <v>0</v>
      </c>
      <c r="EE77" s="215">
        <f t="shared" si="32"/>
        <v>0</v>
      </c>
      <c r="EF77" s="215">
        <f t="shared" si="32"/>
        <v>0</v>
      </c>
      <c r="EG77" s="215">
        <f t="shared" si="32"/>
        <v>0</v>
      </c>
      <c r="EH77" s="215">
        <f t="shared" si="32"/>
        <v>0</v>
      </c>
      <c r="EI77" s="215">
        <f t="shared" si="32"/>
        <v>0</v>
      </c>
      <c r="EJ77" s="215">
        <f t="shared" si="32"/>
        <v>0</v>
      </c>
    </row>
    <row r="78" spans="1:143" x14ac:dyDescent="0.25">
      <c r="A78" s="219" t="s">
        <v>1035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5"/>
        <v>lot10</v>
      </c>
      <c r="AH78" s="215">
        <f t="shared" si="26"/>
        <v>0</v>
      </c>
      <c r="AI78" s="215">
        <f t="shared" si="26"/>
        <v>0</v>
      </c>
      <c r="AJ78" s="215">
        <f t="shared" si="26"/>
        <v>0</v>
      </c>
      <c r="AK78" s="215">
        <f t="shared" si="26"/>
        <v>0</v>
      </c>
      <c r="AL78" s="215">
        <f t="shared" si="26"/>
        <v>0</v>
      </c>
      <c r="AM78" s="215">
        <f t="shared" si="26"/>
        <v>0</v>
      </c>
      <c r="AN78" s="215">
        <f t="shared" si="26"/>
        <v>0</v>
      </c>
      <c r="AO78" s="215">
        <f t="shared" si="26"/>
        <v>0</v>
      </c>
      <c r="AP78" s="215">
        <f t="shared" si="26"/>
        <v>0</v>
      </c>
      <c r="AQ78" s="215">
        <f t="shared" si="26"/>
        <v>0</v>
      </c>
      <c r="AR78" s="215">
        <f t="shared" si="26"/>
        <v>0</v>
      </c>
      <c r="AS78" s="215">
        <f t="shared" si="26"/>
        <v>0</v>
      </c>
      <c r="AT78" s="215">
        <f t="shared" si="26"/>
        <v>0</v>
      </c>
      <c r="AU78" s="215">
        <f t="shared" si="26"/>
        <v>0</v>
      </c>
      <c r="AV78" s="215">
        <f t="shared" si="26"/>
        <v>0</v>
      </c>
      <c r="AW78" s="215">
        <f t="shared" si="26"/>
        <v>0</v>
      </c>
      <c r="AX78" s="215">
        <f t="shared" si="26"/>
        <v>0</v>
      </c>
      <c r="AY78" s="215">
        <f t="shared" si="26"/>
        <v>0</v>
      </c>
      <c r="AZ78" s="215">
        <f t="shared" si="26"/>
        <v>0</v>
      </c>
      <c r="BA78" s="215">
        <f t="shared" si="26"/>
        <v>0</v>
      </c>
      <c r="BB78" s="215">
        <f t="shared" si="26"/>
        <v>0</v>
      </c>
      <c r="BC78" s="215">
        <f t="shared" si="26"/>
        <v>0</v>
      </c>
      <c r="BD78" s="215">
        <f t="shared" si="26"/>
        <v>0</v>
      </c>
      <c r="BE78" s="215">
        <f t="shared" si="26"/>
        <v>0</v>
      </c>
      <c r="BF78" s="211"/>
      <c r="BG78" s="212"/>
      <c r="BH78" s="211">
        <f t="shared" si="27"/>
        <v>0</v>
      </c>
      <c r="BI78" s="211">
        <f t="shared" si="28"/>
        <v>0</v>
      </c>
      <c r="BJ78" s="211">
        <f t="shared" si="28"/>
        <v>0</v>
      </c>
      <c r="BK78" s="211">
        <f t="shared" si="28"/>
        <v>0</v>
      </c>
      <c r="BL78" s="211">
        <f t="shared" si="28"/>
        <v>0</v>
      </c>
      <c r="BM78" s="211">
        <f t="shared" si="28"/>
        <v>0</v>
      </c>
      <c r="BN78" s="211">
        <f t="shared" si="28"/>
        <v>0</v>
      </c>
      <c r="BO78" s="211">
        <f t="shared" si="28"/>
        <v>0</v>
      </c>
      <c r="BP78" s="211">
        <f t="shared" si="28"/>
        <v>0</v>
      </c>
      <c r="BQ78" s="211">
        <f t="shared" si="28"/>
        <v>0</v>
      </c>
      <c r="BR78" s="211">
        <f t="shared" si="28"/>
        <v>0</v>
      </c>
      <c r="BS78" s="211">
        <f t="shared" si="28"/>
        <v>0</v>
      </c>
      <c r="BT78" s="211">
        <f t="shared" si="28"/>
        <v>0</v>
      </c>
      <c r="BU78" s="211">
        <f t="shared" si="28"/>
        <v>0</v>
      </c>
      <c r="BV78" s="211">
        <f t="shared" si="28"/>
        <v>0</v>
      </c>
      <c r="BW78" s="211">
        <f t="shared" si="28"/>
        <v>0</v>
      </c>
      <c r="BX78" s="211">
        <f t="shared" si="28"/>
        <v>0</v>
      </c>
      <c r="BY78" s="211">
        <f t="shared" si="28"/>
        <v>0</v>
      </c>
      <c r="BZ78" s="211">
        <f t="shared" si="28"/>
        <v>0</v>
      </c>
      <c r="CA78" s="211">
        <f t="shared" si="28"/>
        <v>0</v>
      </c>
      <c r="CB78" s="211">
        <f t="shared" si="28"/>
        <v>0</v>
      </c>
      <c r="CC78" s="211">
        <f t="shared" si="28"/>
        <v>0</v>
      </c>
      <c r="CD78" s="211">
        <f t="shared" si="28"/>
        <v>0</v>
      </c>
      <c r="CE78" s="211">
        <f t="shared" si="28"/>
        <v>0</v>
      </c>
      <c r="CF78" s="211">
        <f t="shared" si="28"/>
        <v>0</v>
      </c>
      <c r="CG78" s="211"/>
      <c r="CH78" s="211"/>
      <c r="CI78" s="212"/>
      <c r="CJ78" s="211">
        <f t="shared" si="29"/>
        <v>0</v>
      </c>
      <c r="CK78" s="215">
        <f t="shared" si="30"/>
        <v>0</v>
      </c>
      <c r="CL78" s="215">
        <f t="shared" si="30"/>
        <v>0</v>
      </c>
      <c r="CM78" s="215">
        <f t="shared" si="30"/>
        <v>0</v>
      </c>
      <c r="CN78" s="215">
        <f t="shared" si="30"/>
        <v>0</v>
      </c>
      <c r="CO78" s="215">
        <f t="shared" si="30"/>
        <v>0</v>
      </c>
      <c r="CP78" s="215">
        <f t="shared" si="30"/>
        <v>0</v>
      </c>
      <c r="CQ78" s="215">
        <f t="shared" si="30"/>
        <v>0</v>
      </c>
      <c r="CR78" s="215">
        <f t="shared" si="30"/>
        <v>0</v>
      </c>
      <c r="CS78" s="215">
        <f t="shared" si="30"/>
        <v>0</v>
      </c>
      <c r="CT78" s="215">
        <f t="shared" si="30"/>
        <v>0</v>
      </c>
      <c r="CU78" s="215">
        <f t="shared" si="30"/>
        <v>0</v>
      </c>
      <c r="CV78" s="215">
        <f t="shared" si="30"/>
        <v>0</v>
      </c>
      <c r="CW78" s="215">
        <f t="shared" si="30"/>
        <v>0</v>
      </c>
      <c r="CX78" s="215">
        <f t="shared" si="30"/>
        <v>0</v>
      </c>
      <c r="CY78" s="215">
        <f t="shared" si="30"/>
        <v>0</v>
      </c>
      <c r="CZ78" s="215">
        <f t="shared" si="30"/>
        <v>0</v>
      </c>
      <c r="DA78" s="215">
        <f t="shared" si="30"/>
        <v>0</v>
      </c>
      <c r="DB78" s="215">
        <f t="shared" si="30"/>
        <v>0</v>
      </c>
      <c r="DC78" s="215">
        <f t="shared" si="30"/>
        <v>0</v>
      </c>
      <c r="DD78" s="215">
        <f t="shared" si="30"/>
        <v>0</v>
      </c>
      <c r="DE78" s="215">
        <f t="shared" si="30"/>
        <v>0</v>
      </c>
      <c r="DF78" s="215">
        <f t="shared" si="30"/>
        <v>0</v>
      </c>
      <c r="DG78" s="215">
        <f t="shared" si="30"/>
        <v>0</v>
      </c>
      <c r="DH78" s="215">
        <f t="shared" si="30"/>
        <v>0</v>
      </c>
      <c r="DI78" s="211"/>
      <c r="DJ78" s="211"/>
      <c r="DK78" s="212"/>
      <c r="DL78" s="211">
        <f t="shared" si="31"/>
        <v>0</v>
      </c>
      <c r="DM78" s="215">
        <f t="shared" si="32"/>
        <v>0</v>
      </c>
      <c r="DN78" s="215">
        <f t="shared" si="32"/>
        <v>0</v>
      </c>
      <c r="DO78" s="215">
        <f t="shared" si="32"/>
        <v>0</v>
      </c>
      <c r="DP78" s="215">
        <f t="shared" si="32"/>
        <v>0</v>
      </c>
      <c r="DQ78" s="215">
        <f t="shared" si="32"/>
        <v>0</v>
      </c>
      <c r="DR78" s="215">
        <f t="shared" si="32"/>
        <v>0</v>
      </c>
      <c r="DS78" s="215">
        <f t="shared" si="32"/>
        <v>0</v>
      </c>
      <c r="DT78" s="215">
        <f t="shared" si="32"/>
        <v>0</v>
      </c>
      <c r="DU78" s="215">
        <f t="shared" si="32"/>
        <v>0</v>
      </c>
      <c r="DV78" s="215">
        <f t="shared" si="32"/>
        <v>0</v>
      </c>
      <c r="DW78" s="215">
        <f t="shared" si="32"/>
        <v>0</v>
      </c>
      <c r="DX78" s="215">
        <f t="shared" si="32"/>
        <v>0</v>
      </c>
      <c r="DY78" s="215">
        <f t="shared" si="32"/>
        <v>0</v>
      </c>
      <c r="DZ78" s="215">
        <f t="shared" si="32"/>
        <v>0</v>
      </c>
      <c r="EA78" s="215">
        <f t="shared" si="32"/>
        <v>0</v>
      </c>
      <c r="EB78" s="215">
        <f t="shared" si="32"/>
        <v>0</v>
      </c>
      <c r="EC78" s="215">
        <f t="shared" si="32"/>
        <v>0</v>
      </c>
      <c r="ED78" s="215">
        <f t="shared" si="32"/>
        <v>0</v>
      </c>
      <c r="EE78" s="215">
        <f t="shared" si="32"/>
        <v>0</v>
      </c>
      <c r="EF78" s="215">
        <f t="shared" si="32"/>
        <v>0</v>
      </c>
      <c r="EG78" s="215">
        <f t="shared" si="32"/>
        <v>0</v>
      </c>
      <c r="EH78" s="215">
        <f t="shared" si="32"/>
        <v>0</v>
      </c>
      <c r="EI78" s="215">
        <f t="shared" si="32"/>
        <v>0</v>
      </c>
      <c r="EJ78" s="215">
        <f t="shared" si="32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1036</v>
      </c>
      <c r="AG79" s="213">
        <f>SUM(AH69:BE78)</f>
        <v>0</v>
      </c>
      <c r="AH79" s="211" t="s">
        <v>1037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1036</v>
      </c>
      <c r="BH79" s="211">
        <f>SUM(BI69:CF78)</f>
        <v>0</v>
      </c>
      <c r="BI79" s="211" t="s">
        <v>1037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1036</v>
      </c>
      <c r="CJ79" s="211">
        <f>SUM(CK69:DH78)</f>
        <v>0</v>
      </c>
      <c r="CK79" s="211" t="s">
        <v>1037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1036</v>
      </c>
      <c r="DL79" s="211">
        <f>SUM(DM69:EJ78)</f>
        <v>0</v>
      </c>
      <c r="DM79" s="211" t="s">
        <v>1037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1038</v>
      </c>
      <c r="D80" s="33" t="s">
        <v>1039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1040</v>
      </c>
      <c r="C81" s="36" t="s">
        <v>1041</v>
      </c>
      <c r="D81" s="167" t="str">
        <f>Troupeau!B3</f>
        <v>BV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BV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9.8000000000000007</v>
      </c>
      <c r="E82" s="169">
        <f t="shared" ref="E82:F97" si="33">BZ89+CD89</f>
        <v>0</v>
      </c>
      <c r="F82" s="169">
        <f t="shared" si="33"/>
        <v>0</v>
      </c>
      <c r="J82" s="169">
        <f>SUM(K82:M82)</f>
        <v>1960.0000000000002</v>
      </c>
      <c r="K82" s="169">
        <f>$C82*D82</f>
        <v>1960.0000000000002</v>
      </c>
      <c r="L82" s="169">
        <f t="shared" ref="L82:M97" si="34">$C82*E82</f>
        <v>0</v>
      </c>
      <c r="M82" s="169">
        <f t="shared" si="34"/>
        <v>0</v>
      </c>
      <c r="X82" s="14" t="s">
        <v>1042</v>
      </c>
      <c r="Y82" s="169">
        <f>B14</f>
        <v>1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5">BY90+CC90</f>
        <v>5.6</v>
      </c>
      <c r="E83" s="169">
        <f t="shared" si="33"/>
        <v>0</v>
      </c>
      <c r="F83" s="169">
        <f t="shared" si="33"/>
        <v>0</v>
      </c>
      <c r="J83" s="169">
        <f t="shared" ref="J83:J106" si="36">SUM(K83:M83)</f>
        <v>923.99999999999989</v>
      </c>
      <c r="K83" s="169">
        <f t="shared" ref="K83:M106" si="37">$C83*D83</f>
        <v>923.99999999999989</v>
      </c>
      <c r="L83" s="169">
        <f t="shared" si="34"/>
        <v>0</v>
      </c>
      <c r="M83" s="169">
        <f t="shared" si="34"/>
        <v>0</v>
      </c>
      <c r="Q83" s="2" t="s">
        <v>1043</v>
      </c>
      <c r="X83" s="14" t="s">
        <v>1044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5"/>
        <v>0</v>
      </c>
      <c r="E84" s="169">
        <f t="shared" si="33"/>
        <v>0</v>
      </c>
      <c r="F84" s="169">
        <f t="shared" si="33"/>
        <v>0</v>
      </c>
      <c r="J84" s="169">
        <f t="shared" si="36"/>
        <v>0</v>
      </c>
      <c r="K84" s="169">
        <f t="shared" si="37"/>
        <v>0</v>
      </c>
      <c r="L84" s="169">
        <f t="shared" si="34"/>
        <v>0</v>
      </c>
      <c r="M84" s="169">
        <f t="shared" si="34"/>
        <v>0</v>
      </c>
      <c r="X84" s="14" t="s">
        <v>1045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5"/>
        <v>0</v>
      </c>
      <c r="E85" s="169">
        <f t="shared" si="33"/>
        <v>0</v>
      </c>
      <c r="F85" s="169">
        <f t="shared" si="33"/>
        <v>0</v>
      </c>
      <c r="J85" s="169">
        <f t="shared" si="36"/>
        <v>0</v>
      </c>
      <c r="K85" s="169">
        <f t="shared" si="37"/>
        <v>0</v>
      </c>
      <c r="L85" s="169">
        <f t="shared" si="34"/>
        <v>0</v>
      </c>
      <c r="M85" s="169">
        <f t="shared" si="34"/>
        <v>0</v>
      </c>
      <c r="X85" s="14" t="s">
        <v>1046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5"/>
        <v>0</v>
      </c>
      <c r="E86" s="169">
        <f t="shared" si="33"/>
        <v>0</v>
      </c>
      <c r="F86" s="169">
        <f t="shared" si="33"/>
        <v>0</v>
      </c>
      <c r="J86" s="169">
        <f t="shared" si="36"/>
        <v>0</v>
      </c>
      <c r="K86" s="169">
        <f t="shared" si="37"/>
        <v>0</v>
      </c>
      <c r="L86" s="169">
        <f t="shared" si="34"/>
        <v>0</v>
      </c>
      <c r="M86" s="169">
        <f t="shared" si="34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5"/>
        <v>4.5</v>
      </c>
      <c r="E87" s="169">
        <f t="shared" si="33"/>
        <v>0</v>
      </c>
      <c r="F87" s="169">
        <f t="shared" si="33"/>
        <v>0</v>
      </c>
      <c r="J87" s="169">
        <f t="shared" si="36"/>
        <v>1836</v>
      </c>
      <c r="K87" s="169">
        <f t="shared" si="37"/>
        <v>1836</v>
      </c>
      <c r="L87" s="169">
        <f t="shared" si="34"/>
        <v>0</v>
      </c>
      <c r="M87" s="169">
        <f t="shared" si="34"/>
        <v>0</v>
      </c>
      <c r="R87" s="2" t="s">
        <v>421</v>
      </c>
      <c r="U87" s="17"/>
      <c r="Y87" t="s">
        <v>1047</v>
      </c>
      <c r="AB87" t="s">
        <v>86</v>
      </c>
      <c r="AL87"/>
      <c r="BG87"/>
      <c r="BY87" t="s">
        <v>943</v>
      </c>
      <c r="CC87" t="s">
        <v>1048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5"/>
        <v>0</v>
      </c>
      <c r="E88" s="169">
        <f t="shared" si="33"/>
        <v>0</v>
      </c>
      <c r="F88" s="169">
        <f t="shared" si="33"/>
        <v>0</v>
      </c>
      <c r="J88" s="169">
        <f t="shared" si="36"/>
        <v>0</v>
      </c>
      <c r="K88" s="169">
        <f t="shared" si="37"/>
        <v>0</v>
      </c>
      <c r="L88" s="169">
        <f t="shared" si="34"/>
        <v>0</v>
      </c>
      <c r="M88" s="169">
        <f t="shared" si="34"/>
        <v>0</v>
      </c>
      <c r="U88" s="17"/>
      <c r="W88" t="s">
        <v>285</v>
      </c>
      <c r="X88" t="s">
        <v>286</v>
      </c>
      <c r="Y88" t="s">
        <v>1049</v>
      </c>
      <c r="Z88" t="s">
        <v>719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917</v>
      </c>
      <c r="BZ88" s="167" t="s">
        <v>933</v>
      </c>
      <c r="CA88" s="167" t="s">
        <v>934</v>
      </c>
      <c r="CB88" s="167"/>
      <c r="CC88" s="167" t="s">
        <v>917</v>
      </c>
      <c r="CD88" s="167" t="s">
        <v>933</v>
      </c>
      <c r="CE88" s="167" t="s">
        <v>934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5"/>
        <v>0</v>
      </c>
      <c r="E89" s="169">
        <f t="shared" si="33"/>
        <v>0</v>
      </c>
      <c r="F89" s="169">
        <f t="shared" si="33"/>
        <v>0</v>
      </c>
      <c r="J89" s="169">
        <f t="shared" si="36"/>
        <v>0</v>
      </c>
      <c r="K89" s="169">
        <f t="shared" si="37"/>
        <v>0</v>
      </c>
      <c r="L89" s="169">
        <f t="shared" si="34"/>
        <v>0</v>
      </c>
      <c r="M89" s="169">
        <f t="shared" si="34"/>
        <v>0</v>
      </c>
      <c r="Q89" s="2" t="s">
        <v>93</v>
      </c>
      <c r="R89" t="s">
        <v>376</v>
      </c>
      <c r="T89" s="224">
        <v>36</v>
      </c>
      <c r="U89" s="224">
        <v>30</v>
      </c>
      <c r="W89" s="126" t="str">
        <f>HLOOKUP(Troupeau!J$17,[1]Anx!$C$170:$CO$215,T89)</f>
        <v>2 -grain céréales à paille</v>
      </c>
      <c r="X89" s="61">
        <f t="shared" ref="X89:X93" si="38">VALUE(LEFT(W89,2))</f>
        <v>2</v>
      </c>
      <c r="Y89" s="126">
        <f>HLOOKUP(Troupeau!J$17,[1]Anx!$C$170:$CO$215,U89)</f>
        <v>1125</v>
      </c>
      <c r="Z89" s="54">
        <f>Y$82*Y89</f>
        <v>1125</v>
      </c>
      <c r="AB89" s="54">
        <f t="shared" ref="AB89:AQ93" si="39">IF($X89=AB$88,ROUND($Z89/1000,1),0)</f>
        <v>0</v>
      </c>
      <c r="AC89" s="54">
        <f t="shared" si="39"/>
        <v>1.1000000000000001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9.8000000000000007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5"/>
        <v>0</v>
      </c>
      <c r="E90" s="169">
        <f t="shared" si="33"/>
        <v>0</v>
      </c>
      <c r="F90" s="169">
        <f t="shared" si="33"/>
        <v>0</v>
      </c>
      <c r="J90" s="169">
        <f t="shared" si="36"/>
        <v>0</v>
      </c>
      <c r="K90" s="169">
        <f t="shared" si="37"/>
        <v>0</v>
      </c>
      <c r="L90" s="169">
        <f t="shared" si="34"/>
        <v>0</v>
      </c>
      <c r="M90" s="169">
        <f t="shared" si="34"/>
        <v>0</v>
      </c>
      <c r="R90" t="s">
        <v>377</v>
      </c>
      <c r="T90" s="224">
        <v>37</v>
      </c>
      <c r="U90" s="224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300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0.3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9">
        <f>+AC$94</f>
        <v>1.1000000000000001</v>
      </c>
      <c r="BZ90" s="169">
        <f>+AC$101</f>
        <v>0</v>
      </c>
      <c r="CA90" s="169">
        <f>+AC$108</f>
        <v>0</v>
      </c>
      <c r="CC90" s="169">
        <f>CdTrp1!AL$54</f>
        <v>4.5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5"/>
        <v>0</v>
      </c>
      <c r="E91" s="169">
        <f t="shared" si="33"/>
        <v>0</v>
      </c>
      <c r="F91" s="169">
        <f t="shared" si="33"/>
        <v>0</v>
      </c>
      <c r="J91" s="169">
        <f t="shared" si="36"/>
        <v>0</v>
      </c>
      <c r="K91" s="169">
        <f t="shared" si="37"/>
        <v>0</v>
      </c>
      <c r="L91" s="169">
        <f t="shared" si="34"/>
        <v>0</v>
      </c>
      <c r="M91" s="169">
        <f t="shared" si="34"/>
        <v>0</v>
      </c>
      <c r="R91" t="s">
        <v>378</v>
      </c>
      <c r="T91" s="224">
        <v>38</v>
      </c>
      <c r="U91" s="22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5"/>
        <v>0</v>
      </c>
      <c r="E92" s="169">
        <f t="shared" si="33"/>
        <v>0</v>
      </c>
      <c r="F92" s="169">
        <f t="shared" si="33"/>
        <v>0</v>
      </c>
      <c r="J92" s="169">
        <f t="shared" si="36"/>
        <v>0</v>
      </c>
      <c r="K92" s="169">
        <f t="shared" si="37"/>
        <v>0</v>
      </c>
      <c r="L92" s="169">
        <f t="shared" si="34"/>
        <v>0</v>
      </c>
      <c r="M92" s="169">
        <f t="shared" si="34"/>
        <v>0</v>
      </c>
      <c r="R92" t="s">
        <v>379</v>
      </c>
      <c r="T92" s="224">
        <v>39</v>
      </c>
      <c r="U92" s="22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5"/>
        <v>0</v>
      </c>
      <c r="E93" s="169">
        <f t="shared" si="33"/>
        <v>0</v>
      </c>
      <c r="F93" s="169">
        <f t="shared" si="33"/>
        <v>0</v>
      </c>
      <c r="J93" s="169">
        <f t="shared" si="36"/>
        <v>0</v>
      </c>
      <c r="K93" s="169">
        <f t="shared" si="37"/>
        <v>0</v>
      </c>
      <c r="L93" s="169">
        <f t="shared" si="34"/>
        <v>0</v>
      </c>
      <c r="M93" s="169">
        <f t="shared" si="34"/>
        <v>0</v>
      </c>
      <c r="R93" t="s">
        <v>380</v>
      </c>
      <c r="S93" s="5"/>
      <c r="T93" s="224">
        <v>40</v>
      </c>
      <c r="U93" s="22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5"/>
        <v>0</v>
      </c>
      <c r="E94" s="169">
        <f t="shared" si="33"/>
        <v>0</v>
      </c>
      <c r="F94" s="169">
        <f t="shared" si="33"/>
        <v>0</v>
      </c>
      <c r="J94" s="169">
        <f t="shared" si="36"/>
        <v>0</v>
      </c>
      <c r="K94" s="169">
        <f t="shared" si="37"/>
        <v>0</v>
      </c>
      <c r="L94" s="169">
        <f t="shared" si="34"/>
        <v>0</v>
      </c>
      <c r="M94" s="169">
        <f t="shared" si="34"/>
        <v>0</v>
      </c>
      <c r="AB94" s="225">
        <f>SUM(AB89:AB93)</f>
        <v>0</v>
      </c>
      <c r="AC94" s="225">
        <f t="shared" ref="AC94:BV94" si="42">SUM(AC89:AC93)</f>
        <v>1.1000000000000001</v>
      </c>
      <c r="AD94" s="225">
        <f t="shared" si="42"/>
        <v>0</v>
      </c>
      <c r="AE94" s="225">
        <f t="shared" si="42"/>
        <v>0</v>
      </c>
      <c r="AF94" s="225">
        <f t="shared" si="42"/>
        <v>0</v>
      </c>
      <c r="AG94" s="225">
        <f t="shared" si="42"/>
        <v>0.3</v>
      </c>
      <c r="AH94" s="225">
        <f t="shared" si="42"/>
        <v>0</v>
      </c>
      <c r="AI94" s="225">
        <f t="shared" si="42"/>
        <v>0</v>
      </c>
      <c r="AJ94" s="225">
        <f t="shared" si="42"/>
        <v>0</v>
      </c>
      <c r="AK94" s="225">
        <f t="shared" si="42"/>
        <v>0</v>
      </c>
      <c r="AL94" s="225">
        <f t="shared" si="42"/>
        <v>0</v>
      </c>
      <c r="AM94" s="225">
        <f t="shared" si="42"/>
        <v>0</v>
      </c>
      <c r="AN94" s="225">
        <f t="shared" si="42"/>
        <v>0</v>
      </c>
      <c r="AO94" s="225">
        <f t="shared" si="42"/>
        <v>0</v>
      </c>
      <c r="AP94" s="225">
        <f t="shared" si="42"/>
        <v>0</v>
      </c>
      <c r="AQ94" s="225">
        <f t="shared" si="42"/>
        <v>0</v>
      </c>
      <c r="AR94" s="225">
        <f t="shared" si="42"/>
        <v>0</v>
      </c>
      <c r="AS94" s="225">
        <f t="shared" si="42"/>
        <v>0</v>
      </c>
      <c r="AT94" s="225">
        <f t="shared" si="42"/>
        <v>0</v>
      </c>
      <c r="AU94" s="225">
        <f t="shared" si="42"/>
        <v>0</v>
      </c>
      <c r="AV94" s="225">
        <f t="shared" si="42"/>
        <v>0</v>
      </c>
      <c r="AW94" s="225">
        <f t="shared" si="42"/>
        <v>0</v>
      </c>
      <c r="AX94" s="225">
        <f t="shared" si="42"/>
        <v>0</v>
      </c>
      <c r="AY94" s="225">
        <f t="shared" si="42"/>
        <v>0</v>
      </c>
      <c r="AZ94" s="225">
        <f t="shared" si="42"/>
        <v>0</v>
      </c>
      <c r="BA94" s="225">
        <f t="shared" si="42"/>
        <v>0</v>
      </c>
      <c r="BB94" s="225">
        <f t="shared" si="42"/>
        <v>0</v>
      </c>
      <c r="BC94" s="225">
        <f t="shared" si="42"/>
        <v>0</v>
      </c>
      <c r="BD94" s="225">
        <f t="shared" si="42"/>
        <v>0</v>
      </c>
      <c r="BE94" s="225">
        <f t="shared" si="42"/>
        <v>0</v>
      </c>
      <c r="BF94" s="225">
        <f t="shared" si="42"/>
        <v>0</v>
      </c>
      <c r="BG94" s="225">
        <f t="shared" si="42"/>
        <v>0</v>
      </c>
      <c r="BH94" s="225">
        <f t="shared" si="42"/>
        <v>0</v>
      </c>
      <c r="BI94" s="225">
        <f t="shared" si="42"/>
        <v>0</v>
      </c>
      <c r="BJ94" s="225">
        <f t="shared" si="42"/>
        <v>0</v>
      </c>
      <c r="BK94" s="225">
        <f t="shared" si="42"/>
        <v>0</v>
      </c>
      <c r="BL94" s="225">
        <f t="shared" si="42"/>
        <v>0</v>
      </c>
      <c r="BM94" s="225">
        <f t="shared" si="42"/>
        <v>0</v>
      </c>
      <c r="BN94" s="225">
        <f t="shared" si="42"/>
        <v>0</v>
      </c>
      <c r="BO94" s="225">
        <f t="shared" si="42"/>
        <v>0</v>
      </c>
      <c r="BP94" s="225">
        <f t="shared" si="42"/>
        <v>0</v>
      </c>
      <c r="BQ94" s="225">
        <f t="shared" si="42"/>
        <v>0</v>
      </c>
      <c r="BR94" s="225">
        <f t="shared" si="42"/>
        <v>0</v>
      </c>
      <c r="BS94" s="225">
        <f t="shared" si="42"/>
        <v>0</v>
      </c>
      <c r="BT94" s="225">
        <f t="shared" si="42"/>
        <v>0</v>
      </c>
      <c r="BU94" s="225">
        <f t="shared" si="42"/>
        <v>0</v>
      </c>
      <c r="BV94" s="225">
        <f t="shared" si="42"/>
        <v>0</v>
      </c>
      <c r="BX94">
        <v>6</v>
      </c>
      <c r="BY94" s="169">
        <f>+AG$94</f>
        <v>0.3</v>
      </c>
      <c r="BZ94" s="169">
        <f>+AG$101</f>
        <v>0</v>
      </c>
      <c r="CA94" s="169">
        <f>+AG$108</f>
        <v>0</v>
      </c>
      <c r="CC94" s="169">
        <f>CdTrp1!AP$54</f>
        <v>4.2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5"/>
        <v>0</v>
      </c>
      <c r="E95" s="169">
        <f t="shared" si="33"/>
        <v>0</v>
      </c>
      <c r="F95" s="169">
        <f t="shared" si="33"/>
        <v>0</v>
      </c>
      <c r="J95" s="169">
        <f t="shared" si="36"/>
        <v>0</v>
      </c>
      <c r="K95" s="169">
        <f t="shared" si="37"/>
        <v>0</v>
      </c>
      <c r="L95" s="169">
        <f t="shared" si="34"/>
        <v>0</v>
      </c>
      <c r="M95" s="169">
        <f t="shared" si="34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5"/>
        <v>0</v>
      </c>
      <c r="E96" s="169">
        <f t="shared" si="33"/>
        <v>0</v>
      </c>
      <c r="F96" s="169">
        <f t="shared" si="33"/>
        <v>0</v>
      </c>
      <c r="J96" s="169">
        <f t="shared" si="36"/>
        <v>0</v>
      </c>
      <c r="K96" s="169">
        <f t="shared" si="37"/>
        <v>0</v>
      </c>
      <c r="L96" s="169">
        <f t="shared" si="34"/>
        <v>0</v>
      </c>
      <c r="M96" s="169">
        <f t="shared" si="34"/>
        <v>0</v>
      </c>
      <c r="Q96" s="2" t="s">
        <v>94</v>
      </c>
      <c r="R96" t="s">
        <v>376</v>
      </c>
      <c r="T96" s="224">
        <v>36</v>
      </c>
      <c r="U96" s="224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30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5"/>
        <v>0</v>
      </c>
      <c r="E97" s="169">
        <f t="shared" si="33"/>
        <v>0</v>
      </c>
      <c r="F97" s="169">
        <f t="shared" si="33"/>
        <v>0</v>
      </c>
      <c r="J97" s="169">
        <f t="shared" si="36"/>
        <v>0</v>
      </c>
      <c r="K97" s="169">
        <f t="shared" si="37"/>
        <v>0</v>
      </c>
      <c r="L97" s="169">
        <f t="shared" si="34"/>
        <v>0</v>
      </c>
      <c r="M97" s="169">
        <f t="shared" si="34"/>
        <v>0</v>
      </c>
      <c r="R97" t="s">
        <v>377</v>
      </c>
      <c r="T97" s="224">
        <v>37</v>
      </c>
      <c r="U97" s="224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31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5"/>
        <v>0</v>
      </c>
      <c r="E98" s="169">
        <f t="shared" si="35"/>
        <v>0</v>
      </c>
      <c r="F98" s="169">
        <f t="shared" si="35"/>
        <v>0</v>
      </c>
      <c r="J98" s="169">
        <f t="shared" si="36"/>
        <v>0</v>
      </c>
      <c r="K98" s="169">
        <f t="shared" si="37"/>
        <v>0</v>
      </c>
      <c r="L98" s="169">
        <f t="shared" si="37"/>
        <v>0</v>
      </c>
      <c r="M98" s="169">
        <f t="shared" si="37"/>
        <v>0</v>
      </c>
      <c r="R98" t="s">
        <v>378</v>
      </c>
      <c r="T98" s="224">
        <v>38</v>
      </c>
      <c r="U98" s="224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32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5"/>
        <v>0</v>
      </c>
      <c r="E99" s="169">
        <f t="shared" si="35"/>
        <v>0</v>
      </c>
      <c r="F99" s="169">
        <f t="shared" si="35"/>
        <v>0</v>
      </c>
      <c r="J99" s="169">
        <f t="shared" si="36"/>
        <v>0</v>
      </c>
      <c r="K99" s="169">
        <f t="shared" si="37"/>
        <v>0</v>
      </c>
      <c r="L99" s="169">
        <f t="shared" si="37"/>
        <v>0</v>
      </c>
      <c r="M99" s="169">
        <f t="shared" si="37"/>
        <v>0</v>
      </c>
      <c r="R99" t="s">
        <v>379</v>
      </c>
      <c r="T99" s="224">
        <v>39</v>
      </c>
      <c r="U99" s="224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33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5"/>
        <v>0</v>
      </c>
      <c r="E100" s="169">
        <f t="shared" si="35"/>
        <v>0</v>
      </c>
      <c r="F100" s="169">
        <f t="shared" si="35"/>
        <v>0</v>
      </c>
      <c r="J100" s="169">
        <f t="shared" si="36"/>
        <v>0</v>
      </c>
      <c r="K100" s="169">
        <f t="shared" si="37"/>
        <v>0</v>
      </c>
      <c r="L100" s="169">
        <f t="shared" si="37"/>
        <v>0</v>
      </c>
      <c r="M100" s="169">
        <f t="shared" si="37"/>
        <v>0</v>
      </c>
      <c r="R100" t="s">
        <v>380</v>
      </c>
      <c r="S100" s="5"/>
      <c r="T100" s="224">
        <v>40</v>
      </c>
      <c r="U100" s="224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34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5"/>
        <v>0</v>
      </c>
      <c r="E101" s="169">
        <f t="shared" si="35"/>
        <v>0</v>
      </c>
      <c r="F101" s="169">
        <f t="shared" si="35"/>
        <v>0</v>
      </c>
      <c r="J101" s="169">
        <f t="shared" si="36"/>
        <v>0</v>
      </c>
      <c r="K101" s="169">
        <f t="shared" si="37"/>
        <v>0</v>
      </c>
      <c r="L101" s="169">
        <f t="shared" si="37"/>
        <v>0</v>
      </c>
      <c r="M101" s="169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5"/>
        <v>0</v>
      </c>
      <c r="E102" s="169">
        <f t="shared" si="35"/>
        <v>0</v>
      </c>
      <c r="F102" s="169">
        <f t="shared" si="35"/>
        <v>0</v>
      </c>
      <c r="J102" s="169">
        <f t="shared" si="36"/>
        <v>0</v>
      </c>
      <c r="K102" s="169">
        <f t="shared" si="37"/>
        <v>0</v>
      </c>
      <c r="L102" s="169">
        <f t="shared" si="37"/>
        <v>0</v>
      </c>
      <c r="M102" s="169">
        <f t="shared" si="37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5"/>
        <v>0</v>
      </c>
      <c r="E103" s="169">
        <f t="shared" si="35"/>
        <v>0</v>
      </c>
      <c r="F103" s="169">
        <f t="shared" si="35"/>
        <v>0</v>
      </c>
      <c r="J103" s="169">
        <f t="shared" si="36"/>
        <v>0</v>
      </c>
      <c r="K103" s="169">
        <f t="shared" si="37"/>
        <v>0</v>
      </c>
      <c r="L103" s="169">
        <f t="shared" si="37"/>
        <v>0</v>
      </c>
      <c r="M103" s="169">
        <f t="shared" si="37"/>
        <v>0</v>
      </c>
      <c r="Q103" s="2" t="s">
        <v>95</v>
      </c>
      <c r="R103" t="s">
        <v>376</v>
      </c>
      <c r="T103" s="224">
        <v>36</v>
      </c>
      <c r="U103" s="22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30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2">BY111+CC111</f>
        <v>0</v>
      </c>
      <c r="E104" s="169">
        <f t="shared" si="52"/>
        <v>0</v>
      </c>
      <c r="F104" s="169">
        <f t="shared" si="52"/>
        <v>0</v>
      </c>
      <c r="J104" s="169">
        <f t="shared" si="36"/>
        <v>0</v>
      </c>
      <c r="K104" s="169">
        <f t="shared" si="37"/>
        <v>0</v>
      </c>
      <c r="L104" s="169">
        <f t="shared" si="37"/>
        <v>0</v>
      </c>
      <c r="M104" s="169">
        <f t="shared" si="37"/>
        <v>0</v>
      </c>
      <c r="R104" t="s">
        <v>377</v>
      </c>
      <c r="T104" s="224">
        <v>37</v>
      </c>
      <c r="U104" s="22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31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2"/>
        <v>0</v>
      </c>
      <c r="E105" s="169">
        <f t="shared" si="52"/>
        <v>0</v>
      </c>
      <c r="F105" s="169">
        <f t="shared" si="52"/>
        <v>0</v>
      </c>
      <c r="J105" s="169">
        <f t="shared" si="36"/>
        <v>0</v>
      </c>
      <c r="K105" s="169">
        <f t="shared" si="37"/>
        <v>0</v>
      </c>
      <c r="L105" s="169">
        <f t="shared" si="37"/>
        <v>0</v>
      </c>
      <c r="M105" s="169">
        <f t="shared" si="37"/>
        <v>0</v>
      </c>
      <c r="R105" t="s">
        <v>378</v>
      </c>
      <c r="T105" s="224">
        <v>38</v>
      </c>
      <c r="U105" s="22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32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2"/>
        <v>0</v>
      </c>
      <c r="E106" s="169">
        <f t="shared" si="52"/>
        <v>0</v>
      </c>
      <c r="F106" s="169">
        <f t="shared" si="52"/>
        <v>0</v>
      </c>
      <c r="J106" s="169">
        <f t="shared" si="36"/>
        <v>0</v>
      </c>
      <c r="K106" s="169">
        <f t="shared" si="37"/>
        <v>0</v>
      </c>
      <c r="L106" s="169">
        <f t="shared" si="37"/>
        <v>0</v>
      </c>
      <c r="M106" s="169">
        <f t="shared" si="37"/>
        <v>0</v>
      </c>
      <c r="R106" t="s">
        <v>379</v>
      </c>
      <c r="T106" s="224">
        <v>39</v>
      </c>
      <c r="U106" s="22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33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6"/>
      <c r="C107" s="168"/>
      <c r="R107" t="s">
        <v>380</v>
      </c>
      <c r="S107" s="5"/>
      <c r="T107" s="224">
        <v>40</v>
      </c>
      <c r="U107" s="22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34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BV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1050</v>
      </c>
      <c r="J110" s="169">
        <f t="shared" ref="J110:J115" si="54">SUM(K110:N110)</f>
        <v>2640</v>
      </c>
      <c r="K110" s="173">
        <f t="shared" ref="K110:K115" si="55">ROUND(T132*U132,0)</f>
        <v>2640</v>
      </c>
      <c r="L110" s="173">
        <f>ROUND(V132*W132,0)</f>
        <v>0</v>
      </c>
      <c r="M110" s="173">
        <f t="shared" ref="M110:M115" si="56">ROUND(X132*Y132,0)</f>
        <v>0</v>
      </c>
      <c r="R110" s="40" t="s">
        <v>1051</v>
      </c>
      <c r="S110" s="167" t="str">
        <f>Troupeau!B3</f>
        <v>BV</v>
      </c>
      <c r="T110" s="61">
        <f>SUM(K82:K106)</f>
        <v>4720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1052</v>
      </c>
      <c r="J111" s="169">
        <f t="shared" si="54"/>
        <v>3600</v>
      </c>
      <c r="K111" s="173">
        <f t="shared" si="55"/>
        <v>3600</v>
      </c>
      <c r="L111" s="173">
        <f>ROUND(V133*W133,0)</f>
        <v>0</v>
      </c>
      <c r="M111" s="173">
        <f t="shared" si="56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1053</v>
      </c>
      <c r="J112" s="169">
        <f t="shared" si="54"/>
        <v>0</v>
      </c>
      <c r="K112" s="173">
        <f t="shared" si="55"/>
        <v>0</v>
      </c>
      <c r="L112" s="173">
        <f>ROUND(V134*W134,0)</f>
        <v>0</v>
      </c>
      <c r="M112" s="173">
        <f t="shared" si="56"/>
        <v>0</v>
      </c>
      <c r="O112" s="227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1054</v>
      </c>
      <c r="J113" s="169">
        <f t="shared" si="54"/>
        <v>760</v>
      </c>
      <c r="K113" s="173">
        <f t="shared" si="55"/>
        <v>760</v>
      </c>
      <c r="L113" s="173">
        <f>ROUND(V135*W135,0)</f>
        <v>0</v>
      </c>
      <c r="M113" s="173">
        <f t="shared" si="56"/>
        <v>0</v>
      </c>
      <c r="O113" s="227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1055</v>
      </c>
      <c r="J114" s="169">
        <f t="shared" si="54"/>
        <v>1400</v>
      </c>
      <c r="K114" s="173">
        <f t="shared" si="55"/>
        <v>1400</v>
      </c>
      <c r="L114" s="173">
        <f>ROUND(U136*V136,0)</f>
        <v>0</v>
      </c>
      <c r="M114" s="173">
        <f t="shared" si="56"/>
        <v>0</v>
      </c>
      <c r="O114" s="227"/>
      <c r="BG114"/>
      <c r="BH114" s="14"/>
      <c r="BZ114" s="167"/>
      <c r="CA114" s="167"/>
    </row>
    <row r="115" spans="1:83" x14ac:dyDescent="0.25">
      <c r="A115" t="s">
        <v>1056</v>
      </c>
      <c r="J115" s="169">
        <f t="shared" si="54"/>
        <v>0</v>
      </c>
      <c r="K115" s="173">
        <f t="shared" si="55"/>
        <v>0</v>
      </c>
      <c r="L115" s="173">
        <f>ROUND(U137*V137,0)</f>
        <v>0</v>
      </c>
      <c r="M115" s="173">
        <f t="shared" si="56"/>
        <v>0</v>
      </c>
      <c r="O115" s="227"/>
      <c r="BG115"/>
      <c r="BH115" s="14"/>
    </row>
    <row r="116" spans="1:83" x14ac:dyDescent="0.25">
      <c r="A116" s="2" t="s">
        <v>1057</v>
      </c>
      <c r="K116" s="62">
        <f>SUM(K110:K115)+SUM(K82:K106)</f>
        <v>13120</v>
      </c>
      <c r="L116" s="62">
        <f t="shared" ref="L116:M116" si="57">SUM(L110:L115)+SUM(L82:L106)</f>
        <v>0</v>
      </c>
      <c r="M116" s="62">
        <f t="shared" si="57"/>
        <v>0</v>
      </c>
      <c r="O116" s="227"/>
      <c r="BG116"/>
      <c r="BH116" s="14"/>
    </row>
    <row r="117" spans="1:83" x14ac:dyDescent="0.25">
      <c r="O117" s="227"/>
      <c r="BG117"/>
      <c r="BH117" s="14"/>
    </row>
    <row r="118" spans="1:83" x14ac:dyDescent="0.25">
      <c r="A118" t="s">
        <v>1058</v>
      </c>
      <c r="B118" s="173">
        <f>IF('Alim -Surf'!K27&lt;0,-'Alim -Surf'!K27,0)</f>
        <v>76.945499999999981</v>
      </c>
      <c r="C118" s="184">
        <f>IF(Scénario!$K$12="BV",[1]Eco!$B$78,IF(Scénario!$K$12="BL",[1]Eco!$B$77,[1]Eco!$B$76))</f>
        <v>150</v>
      </c>
      <c r="J118" s="169">
        <f>B118*C118</f>
        <v>11541.824999999997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1059</v>
      </c>
      <c r="B119" s="173">
        <f>IF('Alim -Surf'!K9&lt;0,-'Alim -Surf'!K9,0)</f>
        <v>63.430000000000007</v>
      </c>
      <c r="C119" s="184">
        <f>[1]Eco!$B$79</f>
        <v>80</v>
      </c>
      <c r="J119" s="169">
        <f>B119*C119</f>
        <v>5074.4000000000005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1060</v>
      </c>
      <c r="B121" t="s">
        <v>1061</v>
      </c>
      <c r="C121" t="s">
        <v>37</v>
      </c>
      <c r="D121" t="s">
        <v>1062</v>
      </c>
      <c r="BG121"/>
      <c r="BH121" s="14"/>
    </row>
    <row r="122" spans="1:83" x14ac:dyDescent="0.25">
      <c r="A122" s="183" t="str">
        <f>LEFT('Alim -Surf'!B34,10)</f>
        <v>maïs ensil</v>
      </c>
      <c r="B122" s="169">
        <f>'Alim -Surf'!D34</f>
        <v>6</v>
      </c>
      <c r="C122" s="169">
        <f>'Alim -Surf'!E34</f>
        <v>2.1</v>
      </c>
      <c r="D122" s="184">
        <f>IF(B122=0,0,VLOOKUP(A122,[1]Anx!$A$212:$CO$218,3+Troupeau!$J$17))</f>
        <v>562</v>
      </c>
      <c r="J122" s="169">
        <f>C122*D122</f>
        <v>1180.2</v>
      </c>
      <c r="K122" s="168"/>
      <c r="L122" s="168"/>
      <c r="M122" s="168"/>
      <c r="N122" s="168"/>
      <c r="T122" s="2" t="s">
        <v>567</v>
      </c>
      <c r="U122" s="2" t="s">
        <v>581</v>
      </c>
      <c r="V122" s="2" t="s">
        <v>588</v>
      </c>
      <c r="W122" s="2" t="s">
        <v>1024</v>
      </c>
      <c r="BG122"/>
      <c r="BH122" s="14"/>
    </row>
    <row r="123" spans="1:83" x14ac:dyDescent="0.25">
      <c r="A123" s="183" t="str">
        <f>LEFT('Alim -Surf'!B35,10)</f>
        <v>landes lit</v>
      </c>
      <c r="B123" s="169">
        <f>'Alim -Surf'!D35</f>
        <v>28</v>
      </c>
      <c r="C123" s="169">
        <f>'Alim -Surf'!E35</f>
        <v>9.6999999999999993</v>
      </c>
      <c r="D123" s="184">
        <f>IF(B123=0,0,VLOOKUP(A123,[1]Anx!$A$212:$CO$218,3+Troupeau!$J$17))</f>
        <v>0</v>
      </c>
      <c r="J123" s="169">
        <f t="shared" ref="J123:J131" si="58">C123*D123</f>
        <v>0</v>
      </c>
      <c r="K123" s="168"/>
      <c r="L123" s="168"/>
      <c r="M123" s="168"/>
      <c r="N123" s="168"/>
      <c r="S123" s="14" t="s">
        <v>1063</v>
      </c>
      <c r="T123" s="167">
        <f>Troupeau!J17</f>
        <v>10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1064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8"/>
        <v>0</v>
      </c>
      <c r="K124" s="168"/>
      <c r="L124" s="168"/>
      <c r="M124" s="168"/>
      <c r="N124" s="168"/>
      <c r="S124" s="14" t="s">
        <v>1065</v>
      </c>
      <c r="T124" s="167" t="str">
        <f>Troupeau!B3</f>
        <v>BV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567</v>
      </c>
      <c r="AG124" s="2" t="s">
        <v>581</v>
      </c>
      <c r="AH124" s="2" t="s">
        <v>588</v>
      </c>
      <c r="AI124" s="2" t="s">
        <v>1024</v>
      </c>
      <c r="AJ124" s="228" t="s">
        <v>1066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8"/>
        <v>0</v>
      </c>
      <c r="K125" s="168"/>
      <c r="L125" s="168"/>
      <c r="M125" s="168"/>
      <c r="N125" s="168"/>
      <c r="S125" s="14" t="s">
        <v>1067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1068</v>
      </c>
      <c r="AF125" s="30">
        <f>Troupeau!J17</f>
        <v>10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8"/>
        <v>0</v>
      </c>
      <c r="K126" s="168"/>
      <c r="L126" s="168"/>
      <c r="M126" s="168"/>
      <c r="N126" s="168"/>
      <c r="S126" s="14" t="s">
        <v>1069</v>
      </c>
      <c r="T126">
        <f>ROUND(AF147/100,2)</f>
        <v>98.6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1070</v>
      </c>
      <c r="AE126" t="s">
        <v>1071</v>
      </c>
      <c r="AF126" s="30">
        <f>B9</f>
        <v>16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8"/>
        <v>0</v>
      </c>
      <c r="K127" s="168"/>
      <c r="L127" s="168"/>
      <c r="M127" s="168"/>
      <c r="N127" s="168"/>
      <c r="S127" s="14" t="s">
        <v>1072</v>
      </c>
      <c r="T127">
        <f>Troupeau!B17</f>
        <v>40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1073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8"/>
        <v>0</v>
      </c>
      <c r="K128" s="168"/>
      <c r="L128" s="168"/>
      <c r="M128" s="168"/>
      <c r="N128" s="168"/>
      <c r="S128" s="14" t="s">
        <v>1074</v>
      </c>
      <c r="AE128" t="s">
        <v>1075</v>
      </c>
      <c r="AF128" s="30">
        <f>AF126*AF127</f>
        <v>3520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8"/>
        <v>0</v>
      </c>
      <c r="K129" s="168"/>
      <c r="L129" s="168"/>
      <c r="M129" s="168"/>
      <c r="N129" s="168"/>
      <c r="AB129" s="202"/>
      <c r="AD129" s="14" t="s">
        <v>1076</v>
      </c>
      <c r="AE129" t="s">
        <v>1071</v>
      </c>
      <c r="AF129" s="30">
        <f>B10</f>
        <v>7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8"/>
        <v>0</v>
      </c>
      <c r="K130" s="168"/>
      <c r="L130" s="168"/>
      <c r="M130" s="168"/>
      <c r="N130" s="168"/>
      <c r="T130" s="2" t="s">
        <v>567</v>
      </c>
      <c r="U130" s="2"/>
      <c r="V130" s="2" t="s">
        <v>581</v>
      </c>
      <c r="W130" s="2"/>
      <c r="X130" s="2" t="s">
        <v>588</v>
      </c>
      <c r="Y130" s="2"/>
      <c r="Z130" s="2" t="s">
        <v>1024</v>
      </c>
      <c r="AA130" s="2"/>
      <c r="AB130" s="202"/>
      <c r="AE130" t="s">
        <v>1073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8"/>
        <v>0</v>
      </c>
      <c r="K131" s="168"/>
      <c r="L131" s="168"/>
      <c r="M131" s="168"/>
      <c r="N131" s="168"/>
      <c r="O131" s="227"/>
      <c r="T131" s="167" t="s">
        <v>1077</v>
      </c>
      <c r="U131" s="167" t="s">
        <v>1078</v>
      </c>
      <c r="V131" s="167" t="s">
        <v>1077</v>
      </c>
      <c r="W131" s="167" t="s">
        <v>1078</v>
      </c>
      <c r="X131" s="167" t="s">
        <v>1077</v>
      </c>
      <c r="Y131" s="167" t="s">
        <v>1078</v>
      </c>
      <c r="Z131" s="167" t="s">
        <v>1077</v>
      </c>
      <c r="AA131" s="167" t="s">
        <v>1078</v>
      </c>
      <c r="AB131" s="202" t="s">
        <v>1079</v>
      </c>
      <c r="AE131" t="s">
        <v>1075</v>
      </c>
      <c r="AF131" s="30">
        <f>AF129*AF130</f>
        <v>1400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6"/>
      <c r="AL131"/>
      <c r="AM131" s="5"/>
      <c r="BG131"/>
      <c r="BH131" s="14"/>
    </row>
    <row r="132" spans="1:60" x14ac:dyDescent="0.25">
      <c r="A132" s="183" t="s">
        <v>1080</v>
      </c>
      <c r="B132" s="5"/>
      <c r="C132" s="169">
        <f>AH228</f>
        <v>9.6999999999999993</v>
      </c>
      <c r="D132" s="184">
        <f>HLOOKUP(Troupeau!$J$17,[1]Anx!$D$170:$CN$186,'Calcul éco'!O132)</f>
        <v>45</v>
      </c>
      <c r="E132" s="229"/>
      <c r="F132" s="229"/>
      <c r="G132" s="18"/>
      <c r="J132" s="169">
        <f>D132*C132</f>
        <v>436.49999999999994</v>
      </c>
      <c r="K132" s="168"/>
      <c r="L132" s="168"/>
      <c r="M132" s="168"/>
      <c r="N132" s="168"/>
      <c r="O132" s="227">
        <v>10</v>
      </c>
      <c r="S132" s="14" t="s">
        <v>1050</v>
      </c>
      <c r="T132" s="167">
        <f>$T$127</f>
        <v>40</v>
      </c>
      <c r="U132" s="184">
        <f>HLOOKUP($T$123,[1]Anx!$D$170:$CN$1177,$AB132)</f>
        <v>66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0">
        <f>IF(Z132=0,0,HLOOKUP(W$123,[1]Anx!$D$170:$CN$1177,$AB132))</f>
        <v>0</v>
      </c>
      <c r="AB132" s="227">
        <v>3</v>
      </c>
      <c r="AD132" s="14" t="s">
        <v>1081</v>
      </c>
      <c r="AE132" t="s">
        <v>1071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1082</v>
      </c>
      <c r="B133" s="5"/>
      <c r="C133" s="169">
        <f>AI228</f>
        <v>0</v>
      </c>
      <c r="D133" s="184">
        <f>HLOOKUP(Troupeau!$J$17,[1]Anx!$D$170:$CN$186,'Calcul éco'!O133)</f>
        <v>60.51</v>
      </c>
      <c r="E133" s="229"/>
      <c r="F133" s="229"/>
      <c r="G133" s="18"/>
      <c r="J133" s="169">
        <f t="shared" ref="J133:J138" si="61">D133*C133</f>
        <v>0</v>
      </c>
      <c r="K133" s="168"/>
      <c r="L133" s="168"/>
      <c r="M133" s="168"/>
      <c r="N133" s="168"/>
      <c r="O133" s="227">
        <v>11</v>
      </c>
      <c r="S133" s="14" t="s">
        <v>1052</v>
      </c>
      <c r="T133" s="167">
        <f>$T$127</f>
        <v>40</v>
      </c>
      <c r="U133" s="184">
        <f>HLOOKUP($T$123,[1]Anx!$D$170:$CN$1177,$AB133)</f>
        <v>90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0">
        <f>IF(Z133=0,0,HLOOKUP(W$123,[1]Anx!$D$170:$CN$1177,$AB133))</f>
        <v>0</v>
      </c>
      <c r="AB133" s="227">
        <v>4</v>
      </c>
      <c r="AE133" t="s">
        <v>1073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1083</v>
      </c>
      <c r="B134" s="5"/>
      <c r="C134" s="169">
        <f>AJ228</f>
        <v>17</v>
      </c>
      <c r="D134" s="184">
        <f>HLOOKUP(Troupeau!$J$17,[1]Anx!$D$170:$CN$186,'Calcul éco'!O134)</f>
        <v>67.75</v>
      </c>
      <c r="E134" s="229"/>
      <c r="F134" s="229"/>
      <c r="G134" s="18"/>
      <c r="J134" s="169">
        <f t="shared" si="61"/>
        <v>1151.75</v>
      </c>
      <c r="K134" s="168"/>
      <c r="L134" s="168"/>
      <c r="M134" s="168"/>
      <c r="N134" s="168"/>
      <c r="O134" s="227">
        <v>12</v>
      </c>
      <c r="S134" s="14" t="s">
        <v>1053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0">
        <f>IF(Z134=0,0,HLOOKUP(W$123,[1]Anx!$D$170:$CN$1177,$AB134))</f>
        <v>0</v>
      </c>
      <c r="AB134" s="227">
        <v>5</v>
      </c>
      <c r="AE134" t="s">
        <v>1075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6"/>
      <c r="AL134"/>
      <c r="AM134" s="5"/>
      <c r="BG134"/>
      <c r="BH134" s="14"/>
    </row>
    <row r="135" spans="1:60" x14ac:dyDescent="0.25">
      <c r="A135" s="183" t="s">
        <v>1084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61"/>
        <v>0</v>
      </c>
      <c r="K135" s="168"/>
      <c r="L135" s="168"/>
      <c r="M135" s="168"/>
      <c r="N135" s="168"/>
      <c r="O135" s="227">
        <v>13</v>
      </c>
      <c r="S135" s="14" t="s">
        <v>1054</v>
      </c>
      <c r="T135" s="167">
        <f>$T$127</f>
        <v>40</v>
      </c>
      <c r="U135" s="184">
        <f>HLOOKUP($T$123,[1]Anx!$D$170:$CN$1177,$AB135)</f>
        <v>19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0">
        <f>IF(Z135=0,0,HLOOKUP(W$123,[1]Anx!$D$170:$CN$1177,$AB135))</f>
        <v>0</v>
      </c>
      <c r="AB135" s="227">
        <v>6</v>
      </c>
      <c r="AD135" s="14" t="s">
        <v>1085</v>
      </c>
      <c r="AE135" t="s">
        <v>1071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1086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61"/>
        <v>0</v>
      </c>
      <c r="K136" s="168"/>
      <c r="L136" s="168"/>
      <c r="M136" s="168"/>
      <c r="N136" s="168"/>
      <c r="O136" s="227">
        <v>14</v>
      </c>
      <c r="S136" s="14" t="s">
        <v>1087</v>
      </c>
      <c r="T136" s="167">
        <f>$T$127</f>
        <v>40</v>
      </c>
      <c r="U136" s="184">
        <f>HLOOKUP($T$123,[1]Anx!$D$170:$CN$1177,$AB136)</f>
        <v>35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0">
        <f>IF(Z136=0,0,HLOOKUP(W$123,[1]Anx!$D$170:$CN$1177,$AB136))</f>
        <v>0</v>
      </c>
      <c r="AB136" s="227">
        <v>7</v>
      </c>
      <c r="AE136" t="s">
        <v>1073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1088</v>
      </c>
      <c r="B137" s="5"/>
      <c r="C137" s="169">
        <f>AG228</f>
        <v>0.6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61"/>
        <v>75.12</v>
      </c>
      <c r="K137" s="168"/>
      <c r="L137" s="168"/>
      <c r="M137" s="168"/>
      <c r="N137" s="168"/>
      <c r="O137" s="227">
        <v>15</v>
      </c>
      <c r="S137" s="32" t="s">
        <v>1089</v>
      </c>
      <c r="T137" s="167">
        <f>Troupeau!B22</f>
        <v>9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0">
        <f>IF(Z137=0,0,HLOOKUP(W$123,[1]Anx!$D$170:$CN$1177,$AB137))</f>
        <v>0</v>
      </c>
      <c r="AB137" s="227">
        <v>8</v>
      </c>
      <c r="AE137" t="s">
        <v>1075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6"/>
      <c r="AL137"/>
      <c r="AM137" s="5"/>
      <c r="BG137"/>
      <c r="BH137" s="14"/>
    </row>
    <row r="138" spans="1:60" x14ac:dyDescent="0.25">
      <c r="A138" s="183" t="s">
        <v>1090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61"/>
        <v>0</v>
      </c>
      <c r="K138" s="168"/>
      <c r="L138" s="168"/>
      <c r="M138" s="168"/>
      <c r="N138" s="168"/>
      <c r="O138" s="227">
        <v>16</v>
      </c>
      <c r="AD138" s="14" t="s">
        <v>1091</v>
      </c>
      <c r="AE138" t="s">
        <v>1071</v>
      </c>
      <c r="AF138" s="30">
        <f>B13</f>
        <v>8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7"/>
      <c r="AE139" t="s">
        <v>1073</v>
      </c>
      <c r="AF139" s="30">
        <f>HLOOKUP(AF$125,[1]Anx!$A$122:$CO$162,$AJ139)</f>
        <v>617.5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1092</v>
      </c>
      <c r="J140" s="168"/>
      <c r="K140" s="168"/>
      <c r="L140" s="168"/>
      <c r="M140" s="168"/>
      <c r="N140" s="168"/>
      <c r="Y140" s="167"/>
      <c r="AE140" t="s">
        <v>1075</v>
      </c>
      <c r="AF140" s="30">
        <f>AF138*AF139</f>
        <v>4940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6"/>
      <c r="AL140"/>
      <c r="AM140" s="5"/>
    </row>
    <row r="141" spans="1:60" x14ac:dyDescent="0.25">
      <c r="A141" t="s">
        <v>1093</v>
      </c>
      <c r="J141" s="169">
        <f>X245</f>
        <v>1809</v>
      </c>
      <c r="K141" s="168"/>
      <c r="L141" s="168"/>
      <c r="M141" s="168"/>
      <c r="N141" s="168"/>
      <c r="Y141" s="167"/>
      <c r="AD141" s="14" t="s">
        <v>1094</v>
      </c>
      <c r="AE141" t="s">
        <v>1071</v>
      </c>
      <c r="AF141" s="30">
        <f>B14</f>
        <v>1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1095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1073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1075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1096</v>
      </c>
      <c r="AE144" t="s">
        <v>1071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1097</v>
      </c>
      <c r="B145" s="219"/>
      <c r="C145" s="219"/>
      <c r="D145" s="219"/>
      <c r="E145" s="219"/>
      <c r="F145" s="231"/>
      <c r="G145" s="231"/>
      <c r="H145" s="231"/>
      <c r="I145" s="231"/>
      <c r="J145" s="220">
        <f>SUM(J82:J144)</f>
        <v>34388.794999999998</v>
      </c>
      <c r="K145" s="220"/>
      <c r="L145" s="220"/>
      <c r="M145" s="220"/>
      <c r="N145" s="220"/>
      <c r="Y145" s="167"/>
      <c r="AE145" t="s">
        <v>1073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1075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1098</v>
      </c>
      <c r="AF147" s="46">
        <f>AF128+AF131+AF134+AF137+AF140+AF143+AF146</f>
        <v>9860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1099</v>
      </c>
      <c r="D148" s="5"/>
      <c r="E148" s="18"/>
      <c r="F148" s="5"/>
      <c r="G148" s="18"/>
      <c r="O148" s="227"/>
      <c r="AL148"/>
      <c r="AM148" s="5"/>
    </row>
    <row r="149" spans="1:39" x14ac:dyDescent="0.25">
      <c r="A149" t="s">
        <v>1100</v>
      </c>
      <c r="B149" s="169">
        <f>B$154</f>
        <v>19.7</v>
      </c>
      <c r="C149" s="184">
        <f>HLOOKUP(Troupeau!J$17,[1]Anx!$A$170:$CN$220,'Calcul éco'!O149)</f>
        <v>107</v>
      </c>
      <c r="D149" s="5"/>
      <c r="G149" s="167"/>
      <c r="J149" s="169">
        <f t="shared" ref="J149:J154" si="67">B149*C149</f>
        <v>2107.9</v>
      </c>
      <c r="K149" s="169"/>
      <c r="L149" s="169"/>
      <c r="M149" s="169"/>
      <c r="N149" s="169"/>
      <c r="O149" s="227">
        <v>19</v>
      </c>
      <c r="AL149"/>
      <c r="AM149" s="5"/>
    </row>
    <row r="150" spans="1:39" x14ac:dyDescent="0.25">
      <c r="A150" t="s">
        <v>1101</v>
      </c>
      <c r="B150" s="168">
        <v>1</v>
      </c>
      <c r="C150" s="184">
        <f>HLOOKUP(Troupeau!J$17,[1]Anx!$A$170:$CN$220,'Calcul éco'!O150)</f>
        <v>1085</v>
      </c>
      <c r="D150" s="5"/>
      <c r="G150" s="167"/>
      <c r="J150" s="169">
        <f t="shared" si="67"/>
        <v>1085</v>
      </c>
      <c r="K150" s="169"/>
      <c r="L150" s="169"/>
      <c r="M150" s="169"/>
      <c r="N150" s="169"/>
      <c r="O150" s="227">
        <v>20</v>
      </c>
      <c r="AL150"/>
      <c r="AM150" s="5"/>
    </row>
    <row r="151" spans="1:39" x14ac:dyDescent="0.25">
      <c r="A151" t="s">
        <v>1102</v>
      </c>
      <c r="B151" s="168">
        <v>1</v>
      </c>
      <c r="C151" s="184">
        <f>HLOOKUP(Troupeau!J$17,[1]Anx!$A$170:$CN$220,'Calcul éco'!O151)</f>
        <v>2880</v>
      </c>
      <c r="D151" s="5"/>
      <c r="G151" s="167"/>
      <c r="J151" s="169">
        <f t="shared" si="67"/>
        <v>2880</v>
      </c>
      <c r="K151" s="169"/>
      <c r="L151" s="169"/>
      <c r="M151" s="169"/>
      <c r="N151" s="169"/>
      <c r="O151" s="227">
        <v>21</v>
      </c>
      <c r="Y151" t="s">
        <v>1103</v>
      </c>
    </row>
    <row r="152" spans="1:39" x14ac:dyDescent="0.25">
      <c r="A152" t="s">
        <v>1104</v>
      </c>
      <c r="B152" s="169">
        <f>+Scénario!K6</f>
        <v>0</v>
      </c>
      <c r="C152" s="184">
        <f>HLOOKUP(Troupeau!J$17,[1]Anx!$A$170:$CN$220,'Calcul éco'!O152)</f>
        <v>0</v>
      </c>
      <c r="D152" s="5"/>
      <c r="G152" s="167"/>
      <c r="J152" s="169">
        <f t="shared" si="67"/>
        <v>0</v>
      </c>
      <c r="K152" s="169"/>
      <c r="L152" s="169"/>
      <c r="M152" s="169"/>
      <c r="N152" s="169"/>
      <c r="O152" s="227">
        <v>22</v>
      </c>
      <c r="Z152" t="s">
        <v>1105</v>
      </c>
    </row>
    <row r="153" spans="1:39" x14ac:dyDescent="0.25">
      <c r="A153" s="5" t="s">
        <v>1106</v>
      </c>
      <c r="B153" s="168">
        <v>1</v>
      </c>
      <c r="C153" s="184">
        <f>HLOOKUP(Troupeau!J$17,[1]Anx!$A$170:$CN$220,'Calcul éco'!O153)</f>
        <v>11000</v>
      </c>
      <c r="D153" s="5"/>
      <c r="E153" s="5"/>
      <c r="G153" s="167"/>
      <c r="J153" s="169">
        <f t="shared" si="67"/>
        <v>11000</v>
      </c>
      <c r="K153" s="169"/>
      <c r="L153" s="169"/>
      <c r="M153" s="169"/>
      <c r="N153" s="169"/>
      <c r="O153" s="227">
        <v>23</v>
      </c>
      <c r="V153" s="14" t="s">
        <v>1107</v>
      </c>
      <c r="W153" s="169">
        <f>U$228</f>
        <v>17.600000000000001</v>
      </c>
      <c r="X153" t="s">
        <v>51</v>
      </c>
      <c r="Y153" s="169">
        <f>W153-Scénario!K28</f>
        <v>2.0000000000000018</v>
      </c>
      <c r="Z153" s="169">
        <f>Y153-Y156</f>
        <v>1.6000000000000014</v>
      </c>
    </row>
    <row r="154" spans="1:39" x14ac:dyDescent="0.25">
      <c r="A154" t="s">
        <v>1108</v>
      </c>
      <c r="B154" s="169">
        <f>Scénario!K48</f>
        <v>19.7</v>
      </c>
      <c r="C154" s="184">
        <f>HLOOKUP(Troupeau!J$17,[1]Anx!$A$170:$CN$220,'Calcul éco'!O154)</f>
        <v>307</v>
      </c>
      <c r="D154" s="5"/>
      <c r="G154" s="167"/>
      <c r="J154" s="169">
        <f t="shared" si="67"/>
        <v>6047.9</v>
      </c>
      <c r="K154" s="169"/>
      <c r="L154" s="169"/>
      <c r="M154" s="169"/>
      <c r="N154" s="169"/>
      <c r="O154" s="227">
        <v>24</v>
      </c>
      <c r="V154" s="14" t="s">
        <v>1109</v>
      </c>
      <c r="W154" s="169">
        <f>V$228</f>
        <v>17.600000000000001</v>
      </c>
      <c r="X154" t="s">
        <v>51</v>
      </c>
      <c r="Y154" s="169">
        <f>W154-Scénario!K29</f>
        <v>3.0000000000000018</v>
      </c>
      <c r="Z154" s="169">
        <f>Y154</f>
        <v>3.0000000000000018</v>
      </c>
    </row>
    <row r="155" spans="1:39" x14ac:dyDescent="0.25">
      <c r="A155" s="17" t="s">
        <v>1110</v>
      </c>
      <c r="B155" s="232">
        <f>B154</f>
        <v>19.7</v>
      </c>
      <c r="C155" s="184">
        <f>HLOOKUP(Troupeau!J$17,[1]Anx!$A$170:$CN$220,'Calcul éco'!O155)</f>
        <v>66</v>
      </c>
      <c r="D155" s="86"/>
      <c r="E155" s="17"/>
      <c r="G155" s="167"/>
      <c r="H155" s="17"/>
      <c r="I155" s="232">
        <f>B155*C155</f>
        <v>1300.2</v>
      </c>
      <c r="O155" s="227">
        <v>25</v>
      </c>
      <c r="V155" s="14" t="s">
        <v>1111</v>
      </c>
      <c r="W155" s="169">
        <f>W$228</f>
        <v>4</v>
      </c>
      <c r="X155" t="s">
        <v>51</v>
      </c>
      <c r="Y155" s="169">
        <f>W155-Scénario!K30</f>
        <v>2</v>
      </c>
      <c r="Z155" s="169">
        <f t="shared" ref="Z155:Z156" si="68">Y155</f>
        <v>2</v>
      </c>
    </row>
    <row r="156" spans="1:39" x14ac:dyDescent="0.25">
      <c r="C156" s="5"/>
      <c r="D156" s="5"/>
      <c r="O156" s="227"/>
      <c r="U156" t="s">
        <v>1112</v>
      </c>
      <c r="V156" s="14"/>
      <c r="W156" s="14"/>
      <c r="X156" s="14"/>
      <c r="Y156" s="169">
        <f>Y153*Scénario!K31/100</f>
        <v>0.40000000000000036</v>
      </c>
      <c r="Z156" s="169">
        <f t="shared" si="68"/>
        <v>0.40000000000000036</v>
      </c>
    </row>
    <row r="157" spans="1:39" x14ac:dyDescent="0.25">
      <c r="A157" s="5" t="s">
        <v>1113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1114</v>
      </c>
      <c r="B158" s="169">
        <f>Z153</f>
        <v>1.6000000000000014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57.920000000000059</v>
      </c>
      <c r="K158" s="169"/>
      <c r="L158" s="169"/>
      <c r="M158" s="169"/>
      <c r="N158" s="169"/>
      <c r="O158" s="227">
        <v>2</v>
      </c>
    </row>
    <row r="159" spans="1:39" x14ac:dyDescent="0.25">
      <c r="A159" s="5" t="s">
        <v>1115</v>
      </c>
      <c r="B159" s="169">
        <f t="shared" ref="B159:B161" si="69">Z154</f>
        <v>3.0000000000000018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90.000000000000057</v>
      </c>
      <c r="K159" s="169"/>
      <c r="L159" s="169"/>
      <c r="M159" s="169"/>
      <c r="N159" s="169"/>
      <c r="O159" s="227">
        <v>3</v>
      </c>
    </row>
    <row r="160" spans="1:39" x14ac:dyDescent="0.25">
      <c r="A160" s="5" t="s">
        <v>1116</v>
      </c>
      <c r="B160" s="169">
        <f t="shared" si="69"/>
        <v>2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60</v>
      </c>
      <c r="K160" s="169"/>
      <c r="L160" s="169"/>
      <c r="M160" s="169"/>
      <c r="N160" s="169"/>
      <c r="O160" s="227">
        <v>3</v>
      </c>
      <c r="X160" s="5"/>
      <c r="Y160" s="5"/>
    </row>
    <row r="161" spans="1:41" x14ac:dyDescent="0.25">
      <c r="A161" s="5" t="s">
        <v>1117</v>
      </c>
      <c r="B161" s="169">
        <f t="shared" si="69"/>
        <v>0.40000000000000036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62.160000000000061</v>
      </c>
      <c r="K161" s="169"/>
      <c r="L161" s="169"/>
      <c r="M161" s="169"/>
      <c r="N161" s="169"/>
      <c r="O161" s="227">
        <v>4</v>
      </c>
      <c r="R161" s="2" t="s">
        <v>647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648</v>
      </c>
      <c r="U163" t="s">
        <v>649</v>
      </c>
      <c r="V163" s="167" t="s">
        <v>650</v>
      </c>
      <c r="W163" s="167" t="s">
        <v>651</v>
      </c>
      <c r="X163" s="168" t="s">
        <v>652</v>
      </c>
      <c r="Y163" s="168" t="s">
        <v>653</v>
      </c>
      <c r="Z163" s="168" t="s">
        <v>654</v>
      </c>
      <c r="AA163" s="168" t="s">
        <v>655</v>
      </c>
      <c r="AB163" s="168" t="s">
        <v>656</v>
      </c>
      <c r="AC163" s="168" t="s">
        <v>657</v>
      </c>
      <c r="AD163" s="168" t="s">
        <v>658</v>
      </c>
      <c r="AE163" s="168" t="s">
        <v>659</v>
      </c>
      <c r="AF163" s="168" t="s">
        <v>660</v>
      </c>
      <c r="AG163" s="168" t="s">
        <v>661</v>
      </c>
      <c r="AH163" s="168" t="s">
        <v>662</v>
      </c>
      <c r="AI163" s="168" t="s">
        <v>663</v>
      </c>
      <c r="AJ163" s="168" t="s">
        <v>664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15</v>
      </c>
      <c r="S164" s="169">
        <f>'Alim -Surf'!R7</f>
        <v>1</v>
      </c>
      <c r="T164" s="169">
        <f>VLOOKUP($R164,[1]MEP!$A$4:$M$300,13)</f>
        <v>2</v>
      </c>
      <c r="U164" s="169">
        <f>IF($T164&gt;0,$S164,0)</f>
        <v>1</v>
      </c>
      <c r="V164" s="169">
        <f>IF($T164&gt;1,$S164,0)</f>
        <v>1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70">S164*X164</f>
        <v>0</v>
      </c>
      <c r="AB164" s="169">
        <f t="shared" ref="AB164:AB227" si="71">S164*Y164</f>
        <v>0</v>
      </c>
      <c r="AC164" s="169">
        <f>Z164*S164</f>
        <v>0</v>
      </c>
      <c r="AD164" s="169">
        <f>S164-AC164-AA164</f>
        <v>1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1</v>
      </c>
      <c r="AO164" s="167" t="s">
        <v>51</v>
      </c>
    </row>
    <row r="165" spans="1:41" x14ac:dyDescent="0.25">
      <c r="A165" s="5" t="s">
        <v>1118</v>
      </c>
      <c r="B165" s="5"/>
      <c r="C165" s="191" t="s">
        <v>1119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15</v>
      </c>
      <c r="S165" s="169">
        <f>'Alim -Surf'!R8</f>
        <v>2</v>
      </c>
      <c r="T165" s="169">
        <f>VLOOKUP(R165,[1]MEP!$A$4:$M$300,13)</f>
        <v>2</v>
      </c>
      <c r="U165" s="169">
        <f t="shared" ref="U165:U227" si="72">IF($T165&gt;0,$S165,0)</f>
        <v>2</v>
      </c>
      <c r="V165" s="169">
        <f t="shared" ref="V165:V227" si="73">IF($T165&gt;1,$S165,0)</f>
        <v>2</v>
      </c>
      <c r="W165" s="169">
        <f t="shared" ref="W165:W227" si="74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70"/>
        <v>0</v>
      </c>
      <c r="AB165" s="169">
        <f t="shared" si="71"/>
        <v>0</v>
      </c>
      <c r="AC165" s="169">
        <f t="shared" ref="AC165:AC227" si="75">Z165*S165</f>
        <v>0</v>
      </c>
      <c r="AD165" s="169">
        <f t="shared" ref="AD165:AD227" si="76">S165-AC165-AA165</f>
        <v>2</v>
      </c>
      <c r="AE165" s="169">
        <f t="shared" ref="AE165:AE227" si="77">IF(T165=0,AC165,0)</f>
        <v>0</v>
      </c>
      <c r="AF165" s="169">
        <f t="shared" ref="AF165:AF227" si="78">IF(T165=1,AC165,0)</f>
        <v>0</v>
      </c>
      <c r="AG165" s="169">
        <f t="shared" ref="AG165:AG227" si="79">IF(T165&gt;1,AC165,0)</f>
        <v>0</v>
      </c>
      <c r="AH165" s="169">
        <f t="shared" ref="AH165:AH227" si="80">IF(T165=0,AD165,0)</f>
        <v>0</v>
      </c>
      <c r="AI165" s="169">
        <f t="shared" ref="AI165:AI227" si="81">IF(T165=1,AD165,0)</f>
        <v>0</v>
      </c>
      <c r="AJ165" s="169">
        <f t="shared" ref="AJ165:AJ227" si="82">IF(T165&gt;1,AD165,0)</f>
        <v>2</v>
      </c>
      <c r="AN165" s="32" t="s">
        <v>665</v>
      </c>
      <c r="AO165" s="169">
        <f>SUM(AD164:AD183)</f>
        <v>7.5</v>
      </c>
    </row>
    <row r="166" spans="1:41" x14ac:dyDescent="0.25">
      <c r="A166" s="5" t="s">
        <v>1120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204</v>
      </c>
      <c r="S166" s="169">
        <f>'Alim -Surf'!R9</f>
        <v>0.6</v>
      </c>
      <c r="T166" s="169">
        <f>VLOOKUP(R166,[1]MEP!$A$4:$M$300,13)</f>
        <v>2</v>
      </c>
      <c r="U166" s="169">
        <f t="shared" si="72"/>
        <v>0.6</v>
      </c>
      <c r="V166" s="169">
        <f t="shared" si="73"/>
        <v>0.6</v>
      </c>
      <c r="W166" s="169">
        <f t="shared" si="74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1</v>
      </c>
      <c r="AA166" s="169">
        <f t="shared" si="70"/>
        <v>0</v>
      </c>
      <c r="AB166" s="169">
        <f t="shared" si="71"/>
        <v>0</v>
      </c>
      <c r="AC166" s="169">
        <f t="shared" si="75"/>
        <v>0.6</v>
      </c>
      <c r="AD166" s="169">
        <f t="shared" si="76"/>
        <v>0</v>
      </c>
      <c r="AE166" s="169">
        <f t="shared" si="77"/>
        <v>0</v>
      </c>
      <c r="AF166" s="169">
        <f t="shared" si="78"/>
        <v>0</v>
      </c>
      <c r="AG166" s="169">
        <f t="shared" si="79"/>
        <v>0.6</v>
      </c>
      <c r="AH166" s="169">
        <f t="shared" si="80"/>
        <v>0</v>
      </c>
      <c r="AI166" s="169">
        <f t="shared" si="81"/>
        <v>0</v>
      </c>
      <c r="AJ166" s="169">
        <f t="shared" si="82"/>
        <v>0</v>
      </c>
      <c r="AN166" s="32" t="s">
        <v>666</v>
      </c>
      <c r="AO166" s="169">
        <f>SUM(AC164:AC183)</f>
        <v>0.6</v>
      </c>
    </row>
    <row r="167" spans="1:41" x14ac:dyDescent="0.25">
      <c r="A167" s="5" t="s">
        <v>1121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273</v>
      </c>
      <c r="S167" s="169">
        <f>'Alim -Surf'!R10</f>
        <v>3</v>
      </c>
      <c r="T167" s="169">
        <f>VLOOKUP(R167,[1]MEP!$A$4:$M$300,13)</f>
        <v>3</v>
      </c>
      <c r="U167" s="169">
        <f t="shared" si="72"/>
        <v>3</v>
      </c>
      <c r="V167" s="169">
        <f t="shared" si="73"/>
        <v>3</v>
      </c>
      <c r="W167" s="169">
        <f t="shared" si="74"/>
        <v>3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70"/>
        <v>0</v>
      </c>
      <c r="AB167" s="169">
        <f t="shared" si="71"/>
        <v>0</v>
      </c>
      <c r="AC167" s="169">
        <f t="shared" si="75"/>
        <v>0</v>
      </c>
      <c r="AD167" s="169">
        <f t="shared" si="76"/>
        <v>3</v>
      </c>
      <c r="AE167" s="169">
        <f t="shared" si="77"/>
        <v>0</v>
      </c>
      <c r="AF167" s="169">
        <f t="shared" si="78"/>
        <v>0</v>
      </c>
      <c r="AG167" s="169">
        <f t="shared" si="79"/>
        <v>0</v>
      </c>
      <c r="AH167" s="169">
        <f t="shared" si="80"/>
        <v>0</v>
      </c>
      <c r="AI167" s="169">
        <f t="shared" si="81"/>
        <v>0</v>
      </c>
      <c r="AJ167" s="169">
        <f t="shared" si="82"/>
        <v>3</v>
      </c>
      <c r="AN167" s="32" t="s">
        <v>667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15</v>
      </c>
      <c r="S168" s="169">
        <f>'Alim -Surf'!R11</f>
        <v>0.5</v>
      </c>
      <c r="T168" s="169">
        <f>VLOOKUP(R168,[1]MEP!$A$4:$M$300,13)</f>
        <v>2</v>
      </c>
      <c r="U168" s="169">
        <f t="shared" si="72"/>
        <v>0.5</v>
      </c>
      <c r="V168" s="169">
        <f t="shared" si="73"/>
        <v>0.5</v>
      </c>
      <c r="W168" s="169">
        <f t="shared" si="74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70"/>
        <v>0</v>
      </c>
      <c r="AB168" s="169">
        <f t="shared" si="71"/>
        <v>0</v>
      </c>
      <c r="AC168" s="169">
        <f t="shared" si="75"/>
        <v>0</v>
      </c>
      <c r="AD168" s="169">
        <f t="shared" si="76"/>
        <v>0.5</v>
      </c>
      <c r="AE168" s="169">
        <f t="shared" si="77"/>
        <v>0</v>
      </c>
      <c r="AF168" s="169">
        <f t="shared" si="78"/>
        <v>0</v>
      </c>
      <c r="AG168" s="169">
        <f t="shared" si="79"/>
        <v>0</v>
      </c>
      <c r="AH168" s="169">
        <f t="shared" si="80"/>
        <v>0</v>
      </c>
      <c r="AI168" s="169">
        <f t="shared" si="81"/>
        <v>0</v>
      </c>
      <c r="AJ168" s="169">
        <f t="shared" si="82"/>
        <v>0.5</v>
      </c>
      <c r="AN168" s="32" t="s">
        <v>668</v>
      </c>
      <c r="AO168" s="169">
        <f>SUM(AD186:AD205)</f>
        <v>9.5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274</v>
      </c>
      <c r="S169" s="169">
        <f>'Alim -Surf'!R12</f>
        <v>1</v>
      </c>
      <c r="T169" s="169">
        <f>VLOOKUP(R169,[1]MEP!$A$4:$M$300,13)</f>
        <v>3</v>
      </c>
      <c r="U169" s="169">
        <f t="shared" si="72"/>
        <v>1</v>
      </c>
      <c r="V169" s="169">
        <f t="shared" si="73"/>
        <v>1</v>
      </c>
      <c r="W169" s="169">
        <f t="shared" si="74"/>
        <v>1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70"/>
        <v>0</v>
      </c>
      <c r="AB169" s="169">
        <f t="shared" si="71"/>
        <v>0</v>
      </c>
      <c r="AC169" s="169">
        <f t="shared" si="75"/>
        <v>0</v>
      </c>
      <c r="AD169" s="169">
        <f t="shared" si="76"/>
        <v>1</v>
      </c>
      <c r="AE169" s="169">
        <f t="shared" si="77"/>
        <v>0</v>
      </c>
      <c r="AF169" s="169">
        <f t="shared" si="78"/>
        <v>0</v>
      </c>
      <c r="AG169" s="169">
        <f t="shared" si="79"/>
        <v>0</v>
      </c>
      <c r="AH169" s="169">
        <f t="shared" si="80"/>
        <v>0</v>
      </c>
      <c r="AI169" s="169">
        <f t="shared" si="81"/>
        <v>0</v>
      </c>
      <c r="AJ169" s="169">
        <f t="shared" si="82"/>
        <v>1</v>
      </c>
      <c r="AN169" s="32" t="s">
        <v>669</v>
      </c>
      <c r="AO169" s="169">
        <f>SUM(AC186:AC205)</f>
        <v>0</v>
      </c>
    </row>
    <row r="170" spans="1:41" x14ac:dyDescent="0.25">
      <c r="A170" s="219" t="s">
        <v>1122</v>
      </c>
      <c r="B170" s="219"/>
      <c r="C170" s="219"/>
      <c r="D170" s="219"/>
      <c r="E170" s="219"/>
      <c r="F170" s="231"/>
      <c r="G170" s="231"/>
      <c r="H170" s="231"/>
      <c r="I170" s="231"/>
      <c r="J170" s="62">
        <f>SUM(J149:J169)</f>
        <v>23390.880000000001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2"/>
        <v>0</v>
      </c>
      <c r="V170" s="169">
        <f t="shared" si="73"/>
        <v>0</v>
      </c>
      <c r="W170" s="169">
        <f t="shared" si="74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70"/>
        <v>0</v>
      </c>
      <c r="AB170" s="169">
        <f t="shared" si="71"/>
        <v>0</v>
      </c>
      <c r="AC170" s="169">
        <f t="shared" si="75"/>
        <v>0</v>
      </c>
      <c r="AD170" s="169">
        <f t="shared" si="76"/>
        <v>0</v>
      </c>
      <c r="AE170" s="169">
        <f t="shared" si="77"/>
        <v>0</v>
      </c>
      <c r="AF170" s="169">
        <f t="shared" si="78"/>
        <v>0</v>
      </c>
      <c r="AG170" s="169">
        <f t="shared" si="79"/>
        <v>0</v>
      </c>
      <c r="AH170" s="169">
        <f t="shared" si="80"/>
        <v>0</v>
      </c>
      <c r="AI170" s="169">
        <f t="shared" si="81"/>
        <v>0</v>
      </c>
      <c r="AJ170" s="169">
        <f t="shared" si="82"/>
        <v>0</v>
      </c>
      <c r="AN170" s="32" t="s">
        <v>670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2"/>
        <v>0</v>
      </c>
      <c r="V171" s="169">
        <f t="shared" si="73"/>
        <v>0</v>
      </c>
      <c r="W171" s="169">
        <f t="shared" si="74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70"/>
        <v>0</v>
      </c>
      <c r="AB171" s="169">
        <f t="shared" si="71"/>
        <v>0</v>
      </c>
      <c r="AC171" s="169">
        <f t="shared" si="75"/>
        <v>0</v>
      </c>
      <c r="AD171" s="169">
        <f t="shared" si="76"/>
        <v>0</v>
      </c>
      <c r="AE171" s="169">
        <f t="shared" si="77"/>
        <v>0</v>
      </c>
      <c r="AF171" s="169">
        <f t="shared" si="78"/>
        <v>0</v>
      </c>
      <c r="AG171" s="169">
        <f t="shared" si="79"/>
        <v>0</v>
      </c>
      <c r="AH171" s="169">
        <f t="shared" si="80"/>
        <v>0</v>
      </c>
      <c r="AI171" s="169">
        <f t="shared" si="81"/>
        <v>0</v>
      </c>
      <c r="AJ171" s="169">
        <f t="shared" si="82"/>
        <v>0</v>
      </c>
      <c r="AN171" s="32" t="s">
        <v>671</v>
      </c>
      <c r="AO171" s="169">
        <f>'Alim -Surf'!O51</f>
        <v>9.6999999999999993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2"/>
        <v>0</v>
      </c>
      <c r="V172" s="169">
        <f t="shared" si="73"/>
        <v>0</v>
      </c>
      <c r="W172" s="169">
        <f t="shared" si="74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70"/>
        <v>0</v>
      </c>
      <c r="AB172" s="169">
        <f t="shared" si="71"/>
        <v>0</v>
      </c>
      <c r="AC172" s="169">
        <f t="shared" si="75"/>
        <v>0</v>
      </c>
      <c r="AD172" s="169">
        <f t="shared" si="76"/>
        <v>0</v>
      </c>
      <c r="AE172" s="169">
        <f t="shared" si="77"/>
        <v>0</v>
      </c>
      <c r="AF172" s="169">
        <f t="shared" si="78"/>
        <v>0</v>
      </c>
      <c r="AG172" s="169">
        <f t="shared" si="79"/>
        <v>0</v>
      </c>
      <c r="AH172" s="169">
        <f t="shared" si="80"/>
        <v>0</v>
      </c>
      <c r="AI172" s="169">
        <f t="shared" si="81"/>
        <v>0</v>
      </c>
      <c r="AJ172" s="169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2"/>
        <v>0</v>
      </c>
      <c r="V173" s="169">
        <f t="shared" si="73"/>
        <v>0</v>
      </c>
      <c r="W173" s="169">
        <f t="shared" si="74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70"/>
        <v>0</v>
      </c>
      <c r="AB173" s="169">
        <f t="shared" si="71"/>
        <v>0</v>
      </c>
      <c r="AC173" s="169">
        <f t="shared" si="75"/>
        <v>0</v>
      </c>
      <c r="AD173" s="169">
        <f t="shared" si="76"/>
        <v>0</v>
      </c>
      <c r="AE173" s="169">
        <f t="shared" si="77"/>
        <v>0</v>
      </c>
      <c r="AF173" s="169">
        <f t="shared" si="78"/>
        <v>0</v>
      </c>
      <c r="AG173" s="169">
        <f t="shared" si="79"/>
        <v>0</v>
      </c>
      <c r="AH173" s="169">
        <f t="shared" si="80"/>
        <v>0</v>
      </c>
      <c r="AI173" s="169">
        <f t="shared" si="81"/>
        <v>0</v>
      </c>
      <c r="AJ173" s="169">
        <f t="shared" si="82"/>
        <v>0</v>
      </c>
    </row>
    <row r="174" spans="1:41" x14ac:dyDescent="0.25">
      <c r="A174" s="23" t="s">
        <v>1123</v>
      </c>
      <c r="B174" s="220">
        <f>J48-J145-J170</f>
        <v>-9525.91499999999</v>
      </c>
      <c r="C174" s="233"/>
      <c r="D174" s="233"/>
      <c r="E174" s="233"/>
      <c r="F174" s="233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2"/>
        <v>0</v>
      </c>
      <c r="V174" s="169">
        <f t="shared" si="73"/>
        <v>0</v>
      </c>
      <c r="W174" s="169">
        <f t="shared" si="74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70"/>
        <v>0</v>
      </c>
      <c r="AB174" s="169">
        <f t="shared" si="71"/>
        <v>0</v>
      </c>
      <c r="AC174" s="169">
        <f t="shared" si="75"/>
        <v>0</v>
      </c>
      <c r="AD174" s="169">
        <f t="shared" si="76"/>
        <v>0</v>
      </c>
      <c r="AE174" s="169">
        <f t="shared" si="77"/>
        <v>0</v>
      </c>
      <c r="AF174" s="169">
        <f t="shared" si="78"/>
        <v>0</v>
      </c>
      <c r="AG174" s="169">
        <f t="shared" si="79"/>
        <v>0</v>
      </c>
      <c r="AH174" s="169">
        <f t="shared" si="80"/>
        <v>0</v>
      </c>
      <c r="AI174" s="169">
        <f t="shared" si="81"/>
        <v>0</v>
      </c>
      <c r="AJ174" s="169">
        <f t="shared" si="82"/>
        <v>0</v>
      </c>
    </row>
    <row r="175" spans="1:41" x14ac:dyDescent="0.25">
      <c r="A175" s="23" t="s">
        <v>1124</v>
      </c>
      <c r="B175" s="220">
        <f>ROUND(B174/Scénario!K4,0)</f>
        <v>-9526</v>
      </c>
      <c r="C175" s="188"/>
      <c r="D175" s="233"/>
      <c r="E175" s="233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2"/>
        <v>0</v>
      </c>
      <c r="V175" s="169">
        <f t="shared" si="73"/>
        <v>0</v>
      </c>
      <c r="W175" s="169">
        <f t="shared" si="74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70"/>
        <v>0</v>
      </c>
      <c r="AB175" s="169">
        <f t="shared" si="71"/>
        <v>0</v>
      </c>
      <c r="AC175" s="169">
        <f t="shared" si="75"/>
        <v>0</v>
      </c>
      <c r="AD175" s="169">
        <f t="shared" si="76"/>
        <v>0</v>
      </c>
      <c r="AE175" s="169">
        <f t="shared" si="77"/>
        <v>0</v>
      </c>
      <c r="AF175" s="169">
        <f t="shared" si="78"/>
        <v>0</v>
      </c>
      <c r="AG175" s="169">
        <f t="shared" si="79"/>
        <v>0</v>
      </c>
      <c r="AH175" s="169">
        <f t="shared" si="80"/>
        <v>0</v>
      </c>
      <c r="AI175" s="169">
        <f t="shared" si="81"/>
        <v>0</v>
      </c>
      <c r="AJ175" s="169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2"/>
        <v>0</v>
      </c>
      <c r="V176" s="169">
        <f t="shared" si="73"/>
        <v>0</v>
      </c>
      <c r="W176" s="169">
        <f t="shared" si="74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70"/>
        <v>0</v>
      </c>
      <c r="AB176" s="169">
        <f t="shared" si="71"/>
        <v>0</v>
      </c>
      <c r="AC176" s="169">
        <f t="shared" si="75"/>
        <v>0</v>
      </c>
      <c r="AD176" s="169">
        <f t="shared" si="76"/>
        <v>0</v>
      </c>
      <c r="AE176" s="169">
        <f t="shared" si="77"/>
        <v>0</v>
      </c>
      <c r="AF176" s="169">
        <f t="shared" si="78"/>
        <v>0</v>
      </c>
      <c r="AG176" s="169">
        <f t="shared" si="79"/>
        <v>0</v>
      </c>
      <c r="AH176" s="169">
        <f t="shared" si="80"/>
        <v>0</v>
      </c>
      <c r="AI176" s="169">
        <f t="shared" si="81"/>
        <v>0</v>
      </c>
      <c r="AJ176" s="169">
        <f t="shared" si="82"/>
        <v>0</v>
      </c>
    </row>
    <row r="177" spans="1:36" x14ac:dyDescent="0.25">
      <c r="A177" s="23" t="s">
        <v>1125</v>
      </c>
      <c r="B177" s="30">
        <f>HLOOKUP(Troupeau!J17,[1]Anx!$D$170:$CO$196,27)</f>
        <v>4750</v>
      </c>
      <c r="C177" s="5"/>
      <c r="D177" s="5"/>
      <c r="F177" s="5"/>
      <c r="G177" s="5"/>
      <c r="O177" s="227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2"/>
        <v>0</v>
      </c>
      <c r="V177" s="169">
        <f t="shared" si="73"/>
        <v>0</v>
      </c>
      <c r="W177" s="169">
        <f t="shared" si="74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70"/>
        <v>0</v>
      </c>
      <c r="AB177" s="169">
        <f t="shared" si="71"/>
        <v>0</v>
      </c>
      <c r="AC177" s="169">
        <f t="shared" si="75"/>
        <v>0</v>
      </c>
      <c r="AD177" s="169">
        <f t="shared" si="76"/>
        <v>0</v>
      </c>
      <c r="AE177" s="169">
        <f t="shared" si="77"/>
        <v>0</v>
      </c>
      <c r="AF177" s="169">
        <f t="shared" si="78"/>
        <v>0</v>
      </c>
      <c r="AG177" s="169">
        <f t="shared" si="79"/>
        <v>0</v>
      </c>
      <c r="AH177" s="169">
        <f t="shared" si="80"/>
        <v>0</v>
      </c>
      <c r="AI177" s="169">
        <f t="shared" si="81"/>
        <v>0</v>
      </c>
      <c r="AJ177" s="169">
        <f t="shared" si="82"/>
        <v>0</v>
      </c>
    </row>
    <row r="178" spans="1:36" x14ac:dyDescent="0.25">
      <c r="A178" s="23" t="s">
        <v>1126</v>
      </c>
      <c r="B178" s="234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2"/>
        <v>0</v>
      </c>
      <c r="V178" s="169">
        <f t="shared" si="73"/>
        <v>0</v>
      </c>
      <c r="W178" s="169">
        <f t="shared" si="74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70"/>
        <v>0</v>
      </c>
      <c r="AB178" s="169">
        <f t="shared" si="71"/>
        <v>0</v>
      </c>
      <c r="AC178" s="169">
        <f t="shared" si="75"/>
        <v>0</v>
      </c>
      <c r="AD178" s="169">
        <f t="shared" si="76"/>
        <v>0</v>
      </c>
      <c r="AE178" s="169">
        <f t="shared" si="77"/>
        <v>0</v>
      </c>
      <c r="AF178" s="169">
        <f t="shared" si="78"/>
        <v>0</v>
      </c>
      <c r="AG178" s="169">
        <f t="shared" si="79"/>
        <v>0</v>
      </c>
      <c r="AH178" s="169">
        <f t="shared" si="80"/>
        <v>0</v>
      </c>
      <c r="AI178" s="169">
        <f t="shared" si="81"/>
        <v>0</v>
      </c>
      <c r="AJ178" s="169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2"/>
        <v>0</v>
      </c>
      <c r="V179" s="169">
        <f t="shared" si="73"/>
        <v>0</v>
      </c>
      <c r="W179" s="169">
        <f t="shared" si="74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70"/>
        <v>0</v>
      </c>
      <c r="AB179" s="169">
        <f t="shared" si="71"/>
        <v>0</v>
      </c>
      <c r="AC179" s="169">
        <f t="shared" si="75"/>
        <v>0</v>
      </c>
      <c r="AD179" s="169">
        <f t="shared" si="76"/>
        <v>0</v>
      </c>
      <c r="AE179" s="169">
        <f t="shared" si="77"/>
        <v>0</v>
      </c>
      <c r="AF179" s="169">
        <f t="shared" si="78"/>
        <v>0</v>
      </c>
      <c r="AG179" s="169">
        <f t="shared" si="79"/>
        <v>0</v>
      </c>
      <c r="AH179" s="169">
        <f t="shared" si="80"/>
        <v>0</v>
      </c>
      <c r="AI179" s="169">
        <f t="shared" si="81"/>
        <v>0</v>
      </c>
      <c r="AJ179" s="169">
        <f t="shared" si="82"/>
        <v>0</v>
      </c>
    </row>
    <row r="180" spans="1:36" x14ac:dyDescent="0.25">
      <c r="A180" s="23" t="s">
        <v>1127</v>
      </c>
      <c r="B180" s="220">
        <f>B174-B177-B178</f>
        <v>-14275.91499999999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2"/>
        <v>0</v>
      </c>
      <c r="V180" s="169">
        <f t="shared" si="73"/>
        <v>0</v>
      </c>
      <c r="W180" s="169">
        <f t="shared" si="74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70"/>
        <v>0</v>
      </c>
      <c r="AB180" s="169">
        <f t="shared" si="71"/>
        <v>0</v>
      </c>
      <c r="AC180" s="169">
        <f t="shared" si="75"/>
        <v>0</v>
      </c>
      <c r="AD180" s="169">
        <f t="shared" si="76"/>
        <v>0</v>
      </c>
      <c r="AE180" s="169">
        <f t="shared" si="77"/>
        <v>0</v>
      </c>
      <c r="AF180" s="169">
        <f t="shared" si="78"/>
        <v>0</v>
      </c>
      <c r="AG180" s="169">
        <f t="shared" si="79"/>
        <v>0</v>
      </c>
      <c r="AH180" s="169">
        <f t="shared" si="80"/>
        <v>0</v>
      </c>
      <c r="AI180" s="169">
        <f t="shared" si="81"/>
        <v>0</v>
      </c>
      <c r="AJ180" s="169">
        <f t="shared" si="82"/>
        <v>0</v>
      </c>
    </row>
    <row r="181" spans="1:36" x14ac:dyDescent="0.25">
      <c r="A181" s="23" t="s">
        <v>1128</v>
      </c>
      <c r="B181" s="220">
        <f>ROUND(B180/Scénario!K4,0)</f>
        <v>-14276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2"/>
        <v>0</v>
      </c>
      <c r="V181" s="169">
        <f t="shared" si="73"/>
        <v>0</v>
      </c>
      <c r="W181" s="169">
        <f t="shared" si="74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70"/>
        <v>0</v>
      </c>
      <c r="AB181" s="169">
        <f t="shared" si="71"/>
        <v>0</v>
      </c>
      <c r="AC181" s="169">
        <f t="shared" si="75"/>
        <v>0</v>
      </c>
      <c r="AD181" s="169">
        <f t="shared" si="76"/>
        <v>0</v>
      </c>
      <c r="AE181" s="169">
        <f t="shared" si="77"/>
        <v>0</v>
      </c>
      <c r="AF181" s="169">
        <f t="shared" si="78"/>
        <v>0</v>
      </c>
      <c r="AG181" s="169">
        <f t="shared" si="79"/>
        <v>0</v>
      </c>
      <c r="AH181" s="169">
        <f t="shared" si="80"/>
        <v>0</v>
      </c>
      <c r="AI181" s="169">
        <f t="shared" si="81"/>
        <v>0</v>
      </c>
      <c r="AJ181" s="169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2"/>
        <v>0</v>
      </c>
      <c r="V182" s="169">
        <f t="shared" si="73"/>
        <v>0</v>
      </c>
      <c r="W182" s="169">
        <f t="shared" si="74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70"/>
        <v>0</v>
      </c>
      <c r="AB182" s="169">
        <f t="shared" si="71"/>
        <v>0</v>
      </c>
      <c r="AC182" s="169">
        <f t="shared" si="75"/>
        <v>0</v>
      </c>
      <c r="AD182" s="169">
        <f t="shared" si="76"/>
        <v>0</v>
      </c>
      <c r="AE182" s="169">
        <f t="shared" si="77"/>
        <v>0</v>
      </c>
      <c r="AF182" s="169">
        <f t="shared" si="78"/>
        <v>0</v>
      </c>
      <c r="AG182" s="169">
        <f t="shared" si="79"/>
        <v>0</v>
      </c>
      <c r="AH182" s="169">
        <f t="shared" si="80"/>
        <v>0</v>
      </c>
      <c r="AI182" s="169">
        <f t="shared" si="81"/>
        <v>0</v>
      </c>
      <c r="AJ182" s="169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2"/>
        <v>0</v>
      </c>
      <c r="V183" s="169">
        <f t="shared" si="73"/>
        <v>0</v>
      </c>
      <c r="W183" s="169">
        <f t="shared" si="74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70"/>
        <v>0</v>
      </c>
      <c r="AB183" s="169">
        <f t="shared" si="71"/>
        <v>0</v>
      </c>
      <c r="AC183" s="169">
        <f t="shared" si="75"/>
        <v>0</v>
      </c>
      <c r="AD183" s="169">
        <f t="shared" si="76"/>
        <v>0</v>
      </c>
      <c r="AE183" s="169">
        <f t="shared" si="77"/>
        <v>0</v>
      </c>
      <c r="AF183" s="169">
        <f t="shared" si="78"/>
        <v>0</v>
      </c>
      <c r="AG183" s="169">
        <f t="shared" si="79"/>
        <v>0</v>
      </c>
      <c r="AH183" s="169">
        <f t="shared" si="80"/>
        <v>0</v>
      </c>
      <c r="AI183" s="169">
        <f t="shared" si="81"/>
        <v>0</v>
      </c>
      <c r="AJ183" s="169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2"/>
        <v>0</v>
      </c>
      <c r="V184" s="169">
        <f t="shared" si="73"/>
        <v>0</v>
      </c>
      <c r="W184" s="169">
        <f t="shared" si="74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70"/>
        <v>0</v>
      </c>
      <c r="AB184" s="169">
        <f t="shared" si="71"/>
        <v>0</v>
      </c>
      <c r="AC184" s="169">
        <f t="shared" si="75"/>
        <v>0</v>
      </c>
      <c r="AD184" s="169">
        <f t="shared" si="76"/>
        <v>0</v>
      </c>
      <c r="AE184" s="169">
        <f t="shared" si="77"/>
        <v>0</v>
      </c>
      <c r="AF184" s="169">
        <f t="shared" si="78"/>
        <v>0</v>
      </c>
      <c r="AG184" s="169">
        <f t="shared" si="79"/>
        <v>0</v>
      </c>
      <c r="AH184" s="169">
        <f t="shared" si="80"/>
        <v>0</v>
      </c>
      <c r="AI184" s="169">
        <f t="shared" si="81"/>
        <v>0</v>
      </c>
      <c r="AJ184" s="169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2"/>
        <v>0</v>
      </c>
      <c r="V185" s="169">
        <f t="shared" si="73"/>
        <v>0</v>
      </c>
      <c r="W185" s="169">
        <f t="shared" si="74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70"/>
        <v>0</v>
      </c>
      <c r="AB185" s="169">
        <f t="shared" si="71"/>
        <v>0</v>
      </c>
      <c r="AC185" s="169">
        <f t="shared" si="75"/>
        <v>0</v>
      </c>
      <c r="AD185" s="169">
        <f t="shared" si="76"/>
        <v>0</v>
      </c>
      <c r="AE185" s="169">
        <f t="shared" si="77"/>
        <v>0</v>
      </c>
      <c r="AF185" s="169">
        <f t="shared" si="78"/>
        <v>0</v>
      </c>
      <c r="AG185" s="169">
        <f t="shared" si="79"/>
        <v>0</v>
      </c>
      <c r="AH185" s="169">
        <f t="shared" si="80"/>
        <v>0</v>
      </c>
      <c r="AI185" s="169">
        <f t="shared" si="81"/>
        <v>0</v>
      </c>
      <c r="AJ185" s="169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15</v>
      </c>
      <c r="S186" s="169">
        <f>'Alim -Surf'!R29</f>
        <v>4.5</v>
      </c>
      <c r="T186" s="169">
        <f>VLOOKUP(R186,[1]MEP!$A$4:$M$300,13)</f>
        <v>2</v>
      </c>
      <c r="U186" s="169">
        <f t="shared" si="72"/>
        <v>4.5</v>
      </c>
      <c r="V186" s="169">
        <f t="shared" si="73"/>
        <v>4.5</v>
      </c>
      <c r="W186" s="169">
        <f t="shared" si="74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70"/>
        <v>0</v>
      </c>
      <c r="AB186" s="169">
        <f t="shared" si="71"/>
        <v>0</v>
      </c>
      <c r="AC186" s="169">
        <f t="shared" si="75"/>
        <v>0</v>
      </c>
      <c r="AD186" s="169">
        <f t="shared" si="76"/>
        <v>4.5</v>
      </c>
      <c r="AE186" s="169">
        <f t="shared" si="77"/>
        <v>0</v>
      </c>
      <c r="AF186" s="169">
        <f t="shared" si="78"/>
        <v>0</v>
      </c>
      <c r="AG186" s="169">
        <f t="shared" si="79"/>
        <v>0</v>
      </c>
      <c r="AH186" s="169">
        <f t="shared" si="80"/>
        <v>0</v>
      </c>
      <c r="AI186" s="169">
        <f t="shared" si="81"/>
        <v>0</v>
      </c>
      <c r="AJ186" s="169">
        <f t="shared" si="82"/>
        <v>4.5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72"/>
        <v>0</v>
      </c>
      <c r="V187" s="169">
        <f t="shared" si="73"/>
        <v>0</v>
      </c>
      <c r="W187" s="169">
        <f t="shared" si="74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70"/>
        <v>0</v>
      </c>
      <c r="AB187" s="169">
        <f t="shared" si="71"/>
        <v>0</v>
      </c>
      <c r="AC187" s="169">
        <f t="shared" si="75"/>
        <v>0</v>
      </c>
      <c r="AD187" s="169">
        <f t="shared" si="76"/>
        <v>0</v>
      </c>
      <c r="AE187" s="169">
        <f t="shared" si="77"/>
        <v>0</v>
      </c>
      <c r="AF187" s="169">
        <f t="shared" si="78"/>
        <v>0</v>
      </c>
      <c r="AG187" s="169">
        <f t="shared" si="79"/>
        <v>0</v>
      </c>
      <c r="AH187" s="169">
        <f t="shared" si="80"/>
        <v>0</v>
      </c>
      <c r="AI187" s="169">
        <f t="shared" si="81"/>
        <v>0</v>
      </c>
      <c r="AJ187" s="169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15</v>
      </c>
      <c r="S188" s="169">
        <f>'Alim -Surf'!R31</f>
        <v>3</v>
      </c>
      <c r="T188" s="169">
        <f>VLOOKUP(R188,[1]MEP!$A$4:$M$300,13)</f>
        <v>2</v>
      </c>
      <c r="U188" s="169">
        <f t="shared" si="72"/>
        <v>3</v>
      </c>
      <c r="V188" s="169">
        <f t="shared" si="73"/>
        <v>3</v>
      </c>
      <c r="W188" s="169">
        <f t="shared" si="74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70"/>
        <v>0</v>
      </c>
      <c r="AB188" s="169">
        <f t="shared" si="71"/>
        <v>0</v>
      </c>
      <c r="AC188" s="169">
        <f t="shared" si="75"/>
        <v>0</v>
      </c>
      <c r="AD188" s="169">
        <f t="shared" si="76"/>
        <v>3</v>
      </c>
      <c r="AE188" s="169">
        <f t="shared" si="77"/>
        <v>0</v>
      </c>
      <c r="AF188" s="169">
        <f t="shared" si="78"/>
        <v>0</v>
      </c>
      <c r="AG188" s="169">
        <f t="shared" si="79"/>
        <v>0</v>
      </c>
      <c r="AH188" s="169">
        <f t="shared" si="80"/>
        <v>0</v>
      </c>
      <c r="AI188" s="169">
        <f t="shared" si="81"/>
        <v>0</v>
      </c>
      <c r="AJ188" s="169">
        <f t="shared" si="82"/>
        <v>3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15</v>
      </c>
      <c r="S189" s="169">
        <f>'Alim -Surf'!R32</f>
        <v>2</v>
      </c>
      <c r="T189" s="169">
        <f>VLOOKUP(R189,[1]MEP!$A$4:$M$300,13)</f>
        <v>2</v>
      </c>
      <c r="U189" s="169">
        <f t="shared" si="72"/>
        <v>2</v>
      </c>
      <c r="V189" s="169">
        <f t="shared" si="73"/>
        <v>2</v>
      </c>
      <c r="W189" s="169">
        <f t="shared" si="74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70"/>
        <v>0</v>
      </c>
      <c r="AB189" s="169">
        <f t="shared" si="71"/>
        <v>0</v>
      </c>
      <c r="AC189" s="169">
        <f t="shared" si="75"/>
        <v>0</v>
      </c>
      <c r="AD189" s="169">
        <f t="shared" si="76"/>
        <v>2</v>
      </c>
      <c r="AE189" s="169">
        <f t="shared" si="77"/>
        <v>0</v>
      </c>
      <c r="AF189" s="169">
        <f t="shared" si="78"/>
        <v>0</v>
      </c>
      <c r="AG189" s="169">
        <f t="shared" si="79"/>
        <v>0</v>
      </c>
      <c r="AH189" s="169">
        <f t="shared" si="80"/>
        <v>0</v>
      </c>
      <c r="AI189" s="169">
        <f t="shared" si="81"/>
        <v>0</v>
      </c>
      <c r="AJ189" s="169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2"/>
        <v>0</v>
      </c>
      <c r="V190" s="169">
        <f t="shared" si="73"/>
        <v>0</v>
      </c>
      <c r="W190" s="169">
        <f t="shared" si="74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70"/>
        <v>0</v>
      </c>
      <c r="AB190" s="169">
        <f t="shared" si="71"/>
        <v>0</v>
      </c>
      <c r="AC190" s="169">
        <f t="shared" si="75"/>
        <v>0</v>
      </c>
      <c r="AD190" s="169">
        <f t="shared" si="76"/>
        <v>0</v>
      </c>
      <c r="AE190" s="169">
        <f t="shared" si="77"/>
        <v>0</v>
      </c>
      <c r="AF190" s="169">
        <f t="shared" si="78"/>
        <v>0</v>
      </c>
      <c r="AG190" s="169">
        <f t="shared" si="79"/>
        <v>0</v>
      </c>
      <c r="AH190" s="169">
        <f t="shared" si="80"/>
        <v>0</v>
      </c>
      <c r="AI190" s="169">
        <f t="shared" si="81"/>
        <v>0</v>
      </c>
      <c r="AJ190" s="169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2"/>
        <v>0</v>
      </c>
      <c r="V191" s="169">
        <f t="shared" si="73"/>
        <v>0</v>
      </c>
      <c r="W191" s="169">
        <f t="shared" si="74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70"/>
        <v>0</v>
      </c>
      <c r="AB191" s="169">
        <f t="shared" si="71"/>
        <v>0</v>
      </c>
      <c r="AC191" s="169">
        <f t="shared" si="75"/>
        <v>0</v>
      </c>
      <c r="AD191" s="169">
        <f t="shared" si="76"/>
        <v>0</v>
      </c>
      <c r="AE191" s="169">
        <f t="shared" si="77"/>
        <v>0</v>
      </c>
      <c r="AF191" s="169">
        <f t="shared" si="78"/>
        <v>0</v>
      </c>
      <c r="AG191" s="169">
        <f t="shared" si="79"/>
        <v>0</v>
      </c>
      <c r="AH191" s="169">
        <f t="shared" si="80"/>
        <v>0</v>
      </c>
      <c r="AI191" s="169">
        <f t="shared" si="81"/>
        <v>0</v>
      </c>
      <c r="AJ191" s="169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2"/>
        <v>0</v>
      </c>
      <c r="V192" s="169">
        <f t="shared" si="73"/>
        <v>0</v>
      </c>
      <c r="W192" s="169">
        <f t="shared" si="74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70"/>
        <v>0</v>
      </c>
      <c r="AB192" s="169">
        <f t="shared" si="71"/>
        <v>0</v>
      </c>
      <c r="AC192" s="169">
        <f t="shared" si="75"/>
        <v>0</v>
      </c>
      <c r="AD192" s="169">
        <f t="shared" si="76"/>
        <v>0</v>
      </c>
      <c r="AE192" s="169">
        <f t="shared" si="77"/>
        <v>0</v>
      </c>
      <c r="AF192" s="169">
        <f t="shared" si="78"/>
        <v>0</v>
      </c>
      <c r="AG192" s="169">
        <f t="shared" si="79"/>
        <v>0</v>
      </c>
      <c r="AH192" s="169">
        <f t="shared" si="80"/>
        <v>0</v>
      </c>
      <c r="AI192" s="169">
        <f t="shared" si="81"/>
        <v>0</v>
      </c>
      <c r="AJ192" s="169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2"/>
        <v>0</v>
      </c>
      <c r="V193" s="169">
        <f t="shared" si="73"/>
        <v>0</v>
      </c>
      <c r="W193" s="169">
        <f t="shared" si="74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70"/>
        <v>0</v>
      </c>
      <c r="AB193" s="169">
        <f t="shared" si="71"/>
        <v>0</v>
      </c>
      <c r="AC193" s="169">
        <f t="shared" si="75"/>
        <v>0</v>
      </c>
      <c r="AD193" s="169">
        <f t="shared" si="76"/>
        <v>0</v>
      </c>
      <c r="AE193" s="169">
        <f t="shared" si="77"/>
        <v>0</v>
      </c>
      <c r="AF193" s="169">
        <f t="shared" si="78"/>
        <v>0</v>
      </c>
      <c r="AG193" s="169">
        <f t="shared" si="79"/>
        <v>0</v>
      </c>
      <c r="AH193" s="169">
        <f t="shared" si="80"/>
        <v>0</v>
      </c>
      <c r="AI193" s="169">
        <f t="shared" si="81"/>
        <v>0</v>
      </c>
      <c r="AJ193" s="169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2"/>
        <v>0</v>
      </c>
      <c r="V194" s="169">
        <f t="shared" si="73"/>
        <v>0</v>
      </c>
      <c r="W194" s="169">
        <f t="shared" si="74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70"/>
        <v>0</v>
      </c>
      <c r="AB194" s="169">
        <f t="shared" si="71"/>
        <v>0</v>
      </c>
      <c r="AC194" s="169">
        <f t="shared" si="75"/>
        <v>0</v>
      </c>
      <c r="AD194" s="169">
        <f t="shared" si="76"/>
        <v>0</v>
      </c>
      <c r="AE194" s="169">
        <f t="shared" si="77"/>
        <v>0</v>
      </c>
      <c r="AF194" s="169">
        <f t="shared" si="78"/>
        <v>0</v>
      </c>
      <c r="AG194" s="169">
        <f t="shared" si="79"/>
        <v>0</v>
      </c>
      <c r="AH194" s="169">
        <f t="shared" si="80"/>
        <v>0</v>
      </c>
      <c r="AI194" s="169">
        <f t="shared" si="81"/>
        <v>0</v>
      </c>
      <c r="AJ194" s="169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2"/>
        <v>0</v>
      </c>
      <c r="V195" s="169">
        <f t="shared" si="73"/>
        <v>0</v>
      </c>
      <c r="W195" s="169">
        <f t="shared" si="74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70"/>
        <v>0</v>
      </c>
      <c r="AB195" s="169">
        <f t="shared" si="71"/>
        <v>0</v>
      </c>
      <c r="AC195" s="169">
        <f t="shared" si="75"/>
        <v>0</v>
      </c>
      <c r="AD195" s="169">
        <f t="shared" si="76"/>
        <v>0</v>
      </c>
      <c r="AE195" s="169">
        <f t="shared" si="77"/>
        <v>0</v>
      </c>
      <c r="AF195" s="169">
        <f t="shared" si="78"/>
        <v>0</v>
      </c>
      <c r="AG195" s="169">
        <f t="shared" si="79"/>
        <v>0</v>
      </c>
      <c r="AH195" s="169">
        <f t="shared" si="80"/>
        <v>0</v>
      </c>
      <c r="AI195" s="169">
        <f t="shared" si="81"/>
        <v>0</v>
      </c>
      <c r="AJ195" s="169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2"/>
        <v>0</v>
      </c>
      <c r="V196" s="169">
        <f t="shared" si="73"/>
        <v>0</v>
      </c>
      <c r="W196" s="169">
        <f t="shared" si="74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70"/>
        <v>0</v>
      </c>
      <c r="AB196" s="169">
        <f t="shared" si="71"/>
        <v>0</v>
      </c>
      <c r="AC196" s="169">
        <f t="shared" si="75"/>
        <v>0</v>
      </c>
      <c r="AD196" s="169">
        <f t="shared" si="76"/>
        <v>0</v>
      </c>
      <c r="AE196" s="169">
        <f t="shared" si="77"/>
        <v>0</v>
      </c>
      <c r="AF196" s="169">
        <f t="shared" si="78"/>
        <v>0</v>
      </c>
      <c r="AG196" s="169">
        <f t="shared" si="79"/>
        <v>0</v>
      </c>
      <c r="AH196" s="169">
        <f t="shared" si="80"/>
        <v>0</v>
      </c>
      <c r="AI196" s="169">
        <f t="shared" si="81"/>
        <v>0</v>
      </c>
      <c r="AJ196" s="169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2"/>
        <v>0</v>
      </c>
      <c r="V197" s="169">
        <f t="shared" si="73"/>
        <v>0</v>
      </c>
      <c r="W197" s="169">
        <f t="shared" si="74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70"/>
        <v>0</v>
      </c>
      <c r="AB197" s="169">
        <f t="shared" si="71"/>
        <v>0</v>
      </c>
      <c r="AC197" s="169">
        <f t="shared" si="75"/>
        <v>0</v>
      </c>
      <c r="AD197" s="169">
        <f t="shared" si="76"/>
        <v>0</v>
      </c>
      <c r="AE197" s="169">
        <f t="shared" si="77"/>
        <v>0</v>
      </c>
      <c r="AF197" s="169">
        <f t="shared" si="78"/>
        <v>0</v>
      </c>
      <c r="AG197" s="169">
        <f t="shared" si="79"/>
        <v>0</v>
      </c>
      <c r="AH197" s="169">
        <f t="shared" si="80"/>
        <v>0</v>
      </c>
      <c r="AI197" s="169">
        <f t="shared" si="81"/>
        <v>0</v>
      </c>
      <c r="AJ197" s="169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2"/>
        <v>0</v>
      </c>
      <c r="V198" s="169">
        <f t="shared" si="73"/>
        <v>0</v>
      </c>
      <c r="W198" s="169">
        <f t="shared" si="74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70"/>
        <v>0</v>
      </c>
      <c r="AB198" s="169">
        <f t="shared" si="71"/>
        <v>0</v>
      </c>
      <c r="AC198" s="169">
        <f t="shared" si="75"/>
        <v>0</v>
      </c>
      <c r="AD198" s="169">
        <f t="shared" si="76"/>
        <v>0</v>
      </c>
      <c r="AE198" s="169">
        <f t="shared" si="77"/>
        <v>0</v>
      </c>
      <c r="AF198" s="169">
        <f t="shared" si="78"/>
        <v>0</v>
      </c>
      <c r="AG198" s="169">
        <f t="shared" si="79"/>
        <v>0</v>
      </c>
      <c r="AH198" s="169">
        <f t="shared" si="80"/>
        <v>0</v>
      </c>
      <c r="AI198" s="169">
        <f t="shared" si="81"/>
        <v>0</v>
      </c>
      <c r="AJ198" s="169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2"/>
        <v>0</v>
      </c>
      <c r="V199" s="169">
        <f t="shared" si="73"/>
        <v>0</v>
      </c>
      <c r="W199" s="169">
        <f t="shared" si="74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70"/>
        <v>0</v>
      </c>
      <c r="AB199" s="169">
        <f t="shared" si="71"/>
        <v>0</v>
      </c>
      <c r="AC199" s="169">
        <f t="shared" si="75"/>
        <v>0</v>
      </c>
      <c r="AD199" s="169">
        <f t="shared" si="76"/>
        <v>0</v>
      </c>
      <c r="AE199" s="169">
        <f t="shared" si="77"/>
        <v>0</v>
      </c>
      <c r="AF199" s="169">
        <f t="shared" si="78"/>
        <v>0</v>
      </c>
      <c r="AG199" s="169">
        <f t="shared" si="79"/>
        <v>0</v>
      </c>
      <c r="AH199" s="169">
        <f t="shared" si="80"/>
        <v>0</v>
      </c>
      <c r="AI199" s="169">
        <f t="shared" si="81"/>
        <v>0</v>
      </c>
      <c r="AJ199" s="169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2"/>
        <v>0</v>
      </c>
      <c r="V200" s="169">
        <f t="shared" si="73"/>
        <v>0</v>
      </c>
      <c r="W200" s="169">
        <f t="shared" si="74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70"/>
        <v>0</v>
      </c>
      <c r="AB200" s="169">
        <f t="shared" si="71"/>
        <v>0</v>
      </c>
      <c r="AC200" s="169">
        <f t="shared" si="75"/>
        <v>0</v>
      </c>
      <c r="AD200" s="169">
        <f t="shared" si="76"/>
        <v>0</v>
      </c>
      <c r="AE200" s="169">
        <f t="shared" si="77"/>
        <v>0</v>
      </c>
      <c r="AF200" s="169">
        <f t="shared" si="78"/>
        <v>0</v>
      </c>
      <c r="AG200" s="169">
        <f t="shared" si="79"/>
        <v>0</v>
      </c>
      <c r="AH200" s="169">
        <f t="shared" si="80"/>
        <v>0</v>
      </c>
      <c r="AI200" s="169">
        <f t="shared" si="81"/>
        <v>0</v>
      </c>
      <c r="AJ200" s="169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2"/>
        <v>0</v>
      </c>
      <c r="V201" s="169">
        <f t="shared" si="73"/>
        <v>0</v>
      </c>
      <c r="W201" s="169">
        <f t="shared" si="74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70"/>
        <v>0</v>
      </c>
      <c r="AB201" s="169">
        <f t="shared" si="71"/>
        <v>0</v>
      </c>
      <c r="AC201" s="169">
        <f t="shared" si="75"/>
        <v>0</v>
      </c>
      <c r="AD201" s="169">
        <f t="shared" si="76"/>
        <v>0</v>
      </c>
      <c r="AE201" s="169">
        <f t="shared" si="77"/>
        <v>0</v>
      </c>
      <c r="AF201" s="169">
        <f t="shared" si="78"/>
        <v>0</v>
      </c>
      <c r="AG201" s="169">
        <f t="shared" si="79"/>
        <v>0</v>
      </c>
      <c r="AH201" s="169">
        <f t="shared" si="80"/>
        <v>0</v>
      </c>
      <c r="AI201" s="169">
        <f t="shared" si="81"/>
        <v>0</v>
      </c>
      <c r="AJ201" s="169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2"/>
        <v>0</v>
      </c>
      <c r="V202" s="169">
        <f t="shared" si="73"/>
        <v>0</v>
      </c>
      <c r="W202" s="169">
        <f t="shared" si="74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70"/>
        <v>0</v>
      </c>
      <c r="AB202" s="169">
        <f t="shared" si="71"/>
        <v>0</v>
      </c>
      <c r="AC202" s="169">
        <f t="shared" si="75"/>
        <v>0</v>
      </c>
      <c r="AD202" s="169">
        <f t="shared" si="76"/>
        <v>0</v>
      </c>
      <c r="AE202" s="169">
        <f t="shared" si="77"/>
        <v>0</v>
      </c>
      <c r="AF202" s="169">
        <f t="shared" si="78"/>
        <v>0</v>
      </c>
      <c r="AG202" s="169">
        <f t="shared" si="79"/>
        <v>0</v>
      </c>
      <c r="AH202" s="169">
        <f t="shared" si="80"/>
        <v>0</v>
      </c>
      <c r="AI202" s="169">
        <f t="shared" si="81"/>
        <v>0</v>
      </c>
      <c r="AJ202" s="169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2"/>
        <v>0</v>
      </c>
      <c r="V203" s="169">
        <f t="shared" si="73"/>
        <v>0</v>
      </c>
      <c r="W203" s="169">
        <f t="shared" si="74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70"/>
        <v>0</v>
      </c>
      <c r="AB203" s="169">
        <f t="shared" si="71"/>
        <v>0</v>
      </c>
      <c r="AC203" s="169">
        <f t="shared" si="75"/>
        <v>0</v>
      </c>
      <c r="AD203" s="169">
        <f t="shared" si="76"/>
        <v>0</v>
      </c>
      <c r="AE203" s="169">
        <f t="shared" si="77"/>
        <v>0</v>
      </c>
      <c r="AF203" s="169">
        <f t="shared" si="78"/>
        <v>0</v>
      </c>
      <c r="AG203" s="169">
        <f t="shared" si="79"/>
        <v>0</v>
      </c>
      <c r="AH203" s="169">
        <f t="shared" si="80"/>
        <v>0</v>
      </c>
      <c r="AI203" s="169">
        <f t="shared" si="81"/>
        <v>0</v>
      </c>
      <c r="AJ203" s="169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2"/>
        <v>0</v>
      </c>
      <c r="V204" s="169">
        <f t="shared" si="73"/>
        <v>0</v>
      </c>
      <c r="W204" s="169">
        <f t="shared" si="74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70"/>
        <v>0</v>
      </c>
      <c r="AB204" s="169">
        <f t="shared" si="71"/>
        <v>0</v>
      </c>
      <c r="AC204" s="169">
        <f t="shared" si="75"/>
        <v>0</v>
      </c>
      <c r="AD204" s="169">
        <f t="shared" si="76"/>
        <v>0</v>
      </c>
      <c r="AE204" s="169">
        <f t="shared" si="77"/>
        <v>0</v>
      </c>
      <c r="AF204" s="169">
        <f t="shared" si="78"/>
        <v>0</v>
      </c>
      <c r="AG204" s="169">
        <f t="shared" si="79"/>
        <v>0</v>
      </c>
      <c r="AH204" s="169">
        <f t="shared" si="80"/>
        <v>0</v>
      </c>
      <c r="AI204" s="169">
        <f t="shared" si="81"/>
        <v>0</v>
      </c>
      <c r="AJ204" s="169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2"/>
        <v>0</v>
      </c>
      <c r="V205" s="169">
        <f t="shared" si="73"/>
        <v>0</v>
      </c>
      <c r="W205" s="169">
        <f t="shared" si="74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70"/>
        <v>0</v>
      </c>
      <c r="AB205" s="169">
        <f t="shared" si="71"/>
        <v>0</v>
      </c>
      <c r="AC205" s="169">
        <f t="shared" si="75"/>
        <v>0</v>
      </c>
      <c r="AD205" s="169">
        <f t="shared" si="76"/>
        <v>0</v>
      </c>
      <c r="AE205" s="169">
        <f t="shared" si="77"/>
        <v>0</v>
      </c>
      <c r="AF205" s="169">
        <f t="shared" si="78"/>
        <v>0</v>
      </c>
      <c r="AG205" s="169">
        <f t="shared" si="79"/>
        <v>0</v>
      </c>
      <c r="AH205" s="169">
        <f t="shared" si="80"/>
        <v>0</v>
      </c>
      <c r="AI205" s="169">
        <f t="shared" si="81"/>
        <v>0</v>
      </c>
      <c r="AJ205" s="169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2"/>
        <v>0</v>
      </c>
      <c r="V206" s="169">
        <f t="shared" si="73"/>
        <v>0</v>
      </c>
      <c r="W206" s="169">
        <f t="shared" si="74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70"/>
        <v>0</v>
      </c>
      <c r="AB206" s="169">
        <f t="shared" si="71"/>
        <v>0</v>
      </c>
      <c r="AC206" s="169">
        <f t="shared" si="75"/>
        <v>0</v>
      </c>
      <c r="AD206" s="169">
        <f t="shared" si="76"/>
        <v>0</v>
      </c>
      <c r="AE206" s="169">
        <f t="shared" si="77"/>
        <v>0</v>
      </c>
      <c r="AF206" s="169">
        <f t="shared" si="78"/>
        <v>0</v>
      </c>
      <c r="AG206" s="169">
        <f t="shared" si="79"/>
        <v>0</v>
      </c>
      <c r="AH206" s="169">
        <f t="shared" si="80"/>
        <v>0</v>
      </c>
      <c r="AI206" s="169">
        <f t="shared" si="81"/>
        <v>0</v>
      </c>
      <c r="AJ206" s="169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2"/>
        <v>0</v>
      </c>
      <c r="V207" s="169">
        <f t="shared" si="73"/>
        <v>0</v>
      </c>
      <c r="W207" s="169">
        <f t="shared" si="74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70"/>
        <v>0</v>
      </c>
      <c r="AB207" s="169">
        <f t="shared" si="71"/>
        <v>0</v>
      </c>
      <c r="AC207" s="169">
        <f t="shared" si="75"/>
        <v>0</v>
      </c>
      <c r="AD207" s="169">
        <f t="shared" si="76"/>
        <v>0</v>
      </c>
      <c r="AE207" s="169">
        <f t="shared" si="77"/>
        <v>0</v>
      </c>
      <c r="AF207" s="169">
        <f t="shared" si="78"/>
        <v>0</v>
      </c>
      <c r="AG207" s="169">
        <f t="shared" si="79"/>
        <v>0</v>
      </c>
      <c r="AH207" s="169">
        <f t="shared" si="80"/>
        <v>0</v>
      </c>
      <c r="AI207" s="169">
        <f t="shared" si="81"/>
        <v>0</v>
      </c>
      <c r="AJ207" s="169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47</v>
      </c>
      <c r="S208" s="169">
        <f>'Alim -Surf'!R51</f>
        <v>9.6999999999999993</v>
      </c>
      <c r="T208" s="169">
        <f>VLOOKUP(R208,[1]MEP!$A$4:$M$300,13)</f>
        <v>0</v>
      </c>
      <c r="U208" s="169">
        <f t="shared" si="72"/>
        <v>0</v>
      </c>
      <c r="V208" s="169">
        <f t="shared" si="73"/>
        <v>0</v>
      </c>
      <c r="W208" s="169">
        <f t="shared" si="74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70"/>
        <v>0</v>
      </c>
      <c r="AB208" s="169">
        <f t="shared" si="71"/>
        <v>0</v>
      </c>
      <c r="AC208" s="169">
        <f t="shared" si="75"/>
        <v>0</v>
      </c>
      <c r="AD208" s="169">
        <f t="shared" si="76"/>
        <v>9.6999999999999993</v>
      </c>
      <c r="AE208" s="169">
        <f t="shared" si="77"/>
        <v>0</v>
      </c>
      <c r="AF208" s="169">
        <f t="shared" si="78"/>
        <v>0</v>
      </c>
      <c r="AG208" s="169">
        <f t="shared" si="79"/>
        <v>0</v>
      </c>
      <c r="AH208" s="169">
        <f t="shared" si="80"/>
        <v>9.6999999999999993</v>
      </c>
      <c r="AI208" s="169">
        <f t="shared" si="81"/>
        <v>0</v>
      </c>
      <c r="AJ208" s="169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5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2"/>
        <v>0</v>
      </c>
      <c r="V209" s="169">
        <f t="shared" si="73"/>
        <v>0</v>
      </c>
      <c r="W209" s="169">
        <f t="shared" si="74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70"/>
        <v>0</v>
      </c>
      <c r="AB209" s="169">
        <f t="shared" si="71"/>
        <v>0</v>
      </c>
      <c r="AC209" s="169">
        <f t="shared" si="75"/>
        <v>0</v>
      </c>
      <c r="AD209" s="169">
        <f t="shared" si="76"/>
        <v>0</v>
      </c>
      <c r="AE209" s="169">
        <f t="shared" si="77"/>
        <v>0</v>
      </c>
      <c r="AF209" s="169">
        <f t="shared" si="78"/>
        <v>0</v>
      </c>
      <c r="AG209" s="169">
        <f t="shared" si="79"/>
        <v>0</v>
      </c>
      <c r="AH209" s="169">
        <f t="shared" si="80"/>
        <v>0</v>
      </c>
      <c r="AI209" s="169">
        <f t="shared" si="81"/>
        <v>0</v>
      </c>
      <c r="AJ209" s="169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2"/>
        <v>0</v>
      </c>
      <c r="V210" s="169">
        <f t="shared" si="73"/>
        <v>0</v>
      </c>
      <c r="W210" s="169">
        <f t="shared" si="74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70"/>
        <v>0</v>
      </c>
      <c r="AB210" s="169">
        <f t="shared" si="71"/>
        <v>0</v>
      </c>
      <c r="AC210" s="169">
        <f t="shared" si="75"/>
        <v>0</v>
      </c>
      <c r="AD210" s="169">
        <f t="shared" si="76"/>
        <v>0</v>
      </c>
      <c r="AE210" s="169">
        <f t="shared" si="77"/>
        <v>0</v>
      </c>
      <c r="AF210" s="169">
        <f t="shared" si="78"/>
        <v>0</v>
      </c>
      <c r="AG210" s="169">
        <f t="shared" si="79"/>
        <v>0</v>
      </c>
      <c r="AH210" s="169">
        <f t="shared" si="80"/>
        <v>0</v>
      </c>
      <c r="AI210" s="169">
        <f t="shared" si="81"/>
        <v>0</v>
      </c>
      <c r="AJ210" s="169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6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2"/>
        <v>0</v>
      </c>
      <c r="V211" s="169">
        <f t="shared" si="73"/>
        <v>0</v>
      </c>
      <c r="W211" s="169">
        <f t="shared" si="74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70"/>
        <v>0</v>
      </c>
      <c r="AB211" s="169">
        <f t="shared" si="71"/>
        <v>0</v>
      </c>
      <c r="AC211" s="169">
        <f t="shared" si="75"/>
        <v>0</v>
      </c>
      <c r="AD211" s="169">
        <f t="shared" si="76"/>
        <v>0</v>
      </c>
      <c r="AE211" s="169">
        <f t="shared" si="77"/>
        <v>0</v>
      </c>
      <c r="AF211" s="169">
        <f t="shared" si="78"/>
        <v>0</v>
      </c>
      <c r="AG211" s="169">
        <f t="shared" si="79"/>
        <v>0</v>
      </c>
      <c r="AH211" s="169">
        <f t="shared" si="80"/>
        <v>0</v>
      </c>
      <c r="AI211" s="169">
        <f t="shared" si="81"/>
        <v>0</v>
      </c>
      <c r="AJ211" s="169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2"/>
        <v>0</v>
      </c>
      <c r="V212" s="169">
        <f t="shared" si="73"/>
        <v>0</v>
      </c>
      <c r="W212" s="169">
        <f t="shared" si="74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70"/>
        <v>0</v>
      </c>
      <c r="AB212" s="169">
        <f t="shared" si="71"/>
        <v>0</v>
      </c>
      <c r="AC212" s="169">
        <f t="shared" si="75"/>
        <v>0</v>
      </c>
      <c r="AD212" s="169">
        <f t="shared" si="76"/>
        <v>0</v>
      </c>
      <c r="AE212" s="169">
        <f t="shared" si="77"/>
        <v>0</v>
      </c>
      <c r="AF212" s="169">
        <f t="shared" si="78"/>
        <v>0</v>
      </c>
      <c r="AG212" s="169">
        <f t="shared" si="79"/>
        <v>0</v>
      </c>
      <c r="AH212" s="169">
        <f t="shared" si="80"/>
        <v>0</v>
      </c>
      <c r="AI212" s="169">
        <f t="shared" si="81"/>
        <v>0</v>
      </c>
      <c r="AJ212" s="169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2"/>
        <v>0</v>
      </c>
      <c r="V213" s="169">
        <f t="shared" si="73"/>
        <v>0</v>
      </c>
      <c r="W213" s="169">
        <f t="shared" si="74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70"/>
        <v>0</v>
      </c>
      <c r="AB213" s="169">
        <f t="shared" si="71"/>
        <v>0</v>
      </c>
      <c r="AC213" s="169">
        <f t="shared" si="75"/>
        <v>0</v>
      </c>
      <c r="AD213" s="169">
        <f t="shared" si="76"/>
        <v>0</v>
      </c>
      <c r="AE213" s="169">
        <f t="shared" si="77"/>
        <v>0</v>
      </c>
      <c r="AF213" s="169">
        <f t="shared" si="78"/>
        <v>0</v>
      </c>
      <c r="AG213" s="169">
        <f t="shared" si="79"/>
        <v>0</v>
      </c>
      <c r="AH213" s="169">
        <f t="shared" si="80"/>
        <v>0</v>
      </c>
      <c r="AI213" s="169">
        <f t="shared" si="81"/>
        <v>0</v>
      </c>
      <c r="AJ213" s="169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2"/>
        <v>0</v>
      </c>
      <c r="V214" s="169">
        <f t="shared" si="73"/>
        <v>0</v>
      </c>
      <c r="W214" s="169">
        <f t="shared" si="74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70"/>
        <v>0</v>
      </c>
      <c r="AB214" s="169">
        <f t="shared" si="71"/>
        <v>0</v>
      </c>
      <c r="AC214" s="169">
        <f t="shared" si="75"/>
        <v>0</v>
      </c>
      <c r="AD214" s="169">
        <f t="shared" si="76"/>
        <v>0</v>
      </c>
      <c r="AE214" s="169">
        <f t="shared" si="77"/>
        <v>0</v>
      </c>
      <c r="AF214" s="169">
        <f t="shared" si="78"/>
        <v>0</v>
      </c>
      <c r="AG214" s="169">
        <f t="shared" si="79"/>
        <v>0</v>
      </c>
      <c r="AH214" s="169">
        <f t="shared" si="80"/>
        <v>0</v>
      </c>
      <c r="AI214" s="169">
        <f t="shared" si="81"/>
        <v>0</v>
      </c>
      <c r="AJ214" s="169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2"/>
        <v>0</v>
      </c>
      <c r="V215" s="169">
        <f t="shared" si="73"/>
        <v>0</v>
      </c>
      <c r="W215" s="169">
        <f t="shared" si="74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70"/>
        <v>0</v>
      </c>
      <c r="AB215" s="169">
        <f t="shared" si="71"/>
        <v>0</v>
      </c>
      <c r="AC215" s="169">
        <f t="shared" si="75"/>
        <v>0</v>
      </c>
      <c r="AD215" s="169">
        <f t="shared" si="76"/>
        <v>0</v>
      </c>
      <c r="AE215" s="169">
        <f t="shared" si="77"/>
        <v>0</v>
      </c>
      <c r="AF215" s="169">
        <f t="shared" si="78"/>
        <v>0</v>
      </c>
      <c r="AG215" s="169">
        <f t="shared" si="79"/>
        <v>0</v>
      </c>
      <c r="AH215" s="169">
        <f t="shared" si="80"/>
        <v>0</v>
      </c>
      <c r="AI215" s="169">
        <f t="shared" si="81"/>
        <v>0</v>
      </c>
      <c r="AJ215" s="169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2"/>
        <v>0</v>
      </c>
      <c r="V216" s="169">
        <f t="shared" si="73"/>
        <v>0</v>
      </c>
      <c r="W216" s="169">
        <f t="shared" si="74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70"/>
        <v>0</v>
      </c>
      <c r="AB216" s="169">
        <f t="shared" si="71"/>
        <v>0</v>
      </c>
      <c r="AC216" s="169">
        <f t="shared" si="75"/>
        <v>0</v>
      </c>
      <c r="AD216" s="169">
        <f t="shared" si="76"/>
        <v>0</v>
      </c>
      <c r="AE216" s="169">
        <f t="shared" si="77"/>
        <v>0</v>
      </c>
      <c r="AF216" s="169">
        <f t="shared" si="78"/>
        <v>0</v>
      </c>
      <c r="AG216" s="169">
        <f t="shared" si="79"/>
        <v>0</v>
      </c>
      <c r="AH216" s="169">
        <f t="shared" si="80"/>
        <v>0</v>
      </c>
      <c r="AI216" s="169">
        <f t="shared" si="81"/>
        <v>0</v>
      </c>
      <c r="AJ216" s="169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2"/>
        <v>0</v>
      </c>
      <c r="V217" s="169">
        <f t="shared" si="73"/>
        <v>0</v>
      </c>
      <c r="W217" s="169">
        <f t="shared" si="74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70"/>
        <v>0</v>
      </c>
      <c r="AB217" s="169">
        <f t="shared" si="71"/>
        <v>0</v>
      </c>
      <c r="AC217" s="169">
        <f t="shared" si="75"/>
        <v>0</v>
      </c>
      <c r="AD217" s="169">
        <f t="shared" si="76"/>
        <v>0</v>
      </c>
      <c r="AE217" s="169">
        <f t="shared" si="77"/>
        <v>0</v>
      </c>
      <c r="AF217" s="169">
        <f t="shared" si="78"/>
        <v>0</v>
      </c>
      <c r="AG217" s="169">
        <f t="shared" si="79"/>
        <v>0</v>
      </c>
      <c r="AH217" s="169">
        <f t="shared" si="80"/>
        <v>0</v>
      </c>
      <c r="AI217" s="169">
        <f t="shared" si="81"/>
        <v>0</v>
      </c>
      <c r="AJ217" s="169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2"/>
        <v>0</v>
      </c>
      <c r="V218" s="169">
        <f t="shared" si="73"/>
        <v>0</v>
      </c>
      <c r="W218" s="169">
        <f t="shared" si="74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70"/>
        <v>0</v>
      </c>
      <c r="AB218" s="169">
        <f t="shared" si="71"/>
        <v>0</v>
      </c>
      <c r="AC218" s="169">
        <f t="shared" si="75"/>
        <v>0</v>
      </c>
      <c r="AD218" s="169">
        <f t="shared" si="76"/>
        <v>0</v>
      </c>
      <c r="AE218" s="169">
        <f t="shared" si="77"/>
        <v>0</v>
      </c>
      <c r="AF218" s="169">
        <f t="shared" si="78"/>
        <v>0</v>
      </c>
      <c r="AG218" s="169">
        <f t="shared" si="79"/>
        <v>0</v>
      </c>
      <c r="AH218" s="169">
        <f t="shared" si="80"/>
        <v>0</v>
      </c>
      <c r="AI218" s="169">
        <f t="shared" si="81"/>
        <v>0</v>
      </c>
      <c r="AJ218" s="169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2"/>
        <v>0</v>
      </c>
      <c r="V219" s="169">
        <f t="shared" si="73"/>
        <v>0</v>
      </c>
      <c r="W219" s="169">
        <f t="shared" si="74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70"/>
        <v>0</v>
      </c>
      <c r="AB219" s="169">
        <f t="shared" si="71"/>
        <v>0</v>
      </c>
      <c r="AC219" s="169">
        <f t="shared" si="75"/>
        <v>0</v>
      </c>
      <c r="AD219" s="169">
        <f t="shared" si="76"/>
        <v>0</v>
      </c>
      <c r="AE219" s="169">
        <f t="shared" si="77"/>
        <v>0</v>
      </c>
      <c r="AF219" s="169">
        <f t="shared" si="78"/>
        <v>0</v>
      </c>
      <c r="AG219" s="169">
        <f t="shared" si="79"/>
        <v>0</v>
      </c>
      <c r="AH219" s="169">
        <f t="shared" si="80"/>
        <v>0</v>
      </c>
      <c r="AI219" s="169">
        <f t="shared" si="81"/>
        <v>0</v>
      </c>
      <c r="AJ219" s="169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2"/>
        <v>0</v>
      </c>
      <c r="V220" s="169">
        <f t="shared" si="73"/>
        <v>0</v>
      </c>
      <c r="W220" s="169">
        <f t="shared" si="74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70"/>
        <v>0</v>
      </c>
      <c r="AB220" s="169">
        <f t="shared" si="71"/>
        <v>0</v>
      </c>
      <c r="AC220" s="169">
        <f t="shared" si="75"/>
        <v>0</v>
      </c>
      <c r="AD220" s="169">
        <f t="shared" si="76"/>
        <v>0</v>
      </c>
      <c r="AE220" s="169">
        <f t="shared" si="77"/>
        <v>0</v>
      </c>
      <c r="AF220" s="169">
        <f t="shared" si="78"/>
        <v>0</v>
      </c>
      <c r="AG220" s="169">
        <f t="shared" si="79"/>
        <v>0</v>
      </c>
      <c r="AH220" s="169">
        <f t="shared" si="80"/>
        <v>0</v>
      </c>
      <c r="AI220" s="169">
        <f t="shared" si="81"/>
        <v>0</v>
      </c>
      <c r="AJ220" s="169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2"/>
        <v>0</v>
      </c>
      <c r="V221" s="169">
        <f t="shared" si="73"/>
        <v>0</v>
      </c>
      <c r="W221" s="169">
        <f t="shared" si="74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70"/>
        <v>0</v>
      </c>
      <c r="AB221" s="169">
        <f t="shared" si="71"/>
        <v>0</v>
      </c>
      <c r="AC221" s="169">
        <f t="shared" si="75"/>
        <v>0</v>
      </c>
      <c r="AD221" s="169">
        <f t="shared" si="76"/>
        <v>0</v>
      </c>
      <c r="AE221" s="169">
        <f t="shared" si="77"/>
        <v>0</v>
      </c>
      <c r="AF221" s="169">
        <f t="shared" si="78"/>
        <v>0</v>
      </c>
      <c r="AG221" s="169">
        <f t="shared" si="79"/>
        <v>0</v>
      </c>
      <c r="AH221" s="169">
        <f t="shared" si="80"/>
        <v>0</v>
      </c>
      <c r="AI221" s="169">
        <f t="shared" si="81"/>
        <v>0</v>
      </c>
      <c r="AJ221" s="169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2"/>
        <v>0</v>
      </c>
      <c r="V222" s="169">
        <f t="shared" si="73"/>
        <v>0</v>
      </c>
      <c r="W222" s="169">
        <f t="shared" si="74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70"/>
        <v>0</v>
      </c>
      <c r="AB222" s="169">
        <f t="shared" si="71"/>
        <v>0</v>
      </c>
      <c r="AC222" s="169">
        <f t="shared" si="75"/>
        <v>0</v>
      </c>
      <c r="AD222" s="169">
        <f t="shared" si="76"/>
        <v>0</v>
      </c>
      <c r="AE222" s="169">
        <f t="shared" si="77"/>
        <v>0</v>
      </c>
      <c r="AF222" s="169">
        <f t="shared" si="78"/>
        <v>0</v>
      </c>
      <c r="AG222" s="169">
        <f t="shared" si="79"/>
        <v>0</v>
      </c>
      <c r="AH222" s="169">
        <f t="shared" si="80"/>
        <v>0</v>
      </c>
      <c r="AI222" s="169">
        <f t="shared" si="81"/>
        <v>0</v>
      </c>
      <c r="AJ222" s="169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2"/>
        <v>0</v>
      </c>
      <c r="V223" s="169">
        <f t="shared" si="73"/>
        <v>0</v>
      </c>
      <c r="W223" s="169">
        <f t="shared" si="74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70"/>
        <v>0</v>
      </c>
      <c r="AB223" s="169">
        <f t="shared" si="71"/>
        <v>0</v>
      </c>
      <c r="AC223" s="169">
        <f t="shared" si="75"/>
        <v>0</v>
      </c>
      <c r="AD223" s="169">
        <f t="shared" si="76"/>
        <v>0</v>
      </c>
      <c r="AE223" s="169">
        <f t="shared" si="77"/>
        <v>0</v>
      </c>
      <c r="AF223" s="169">
        <f t="shared" si="78"/>
        <v>0</v>
      </c>
      <c r="AG223" s="169">
        <f t="shared" si="79"/>
        <v>0</v>
      </c>
      <c r="AH223" s="169">
        <f t="shared" si="80"/>
        <v>0</v>
      </c>
      <c r="AI223" s="169">
        <f t="shared" si="81"/>
        <v>0</v>
      </c>
      <c r="AJ223" s="169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2"/>
        <v>0</v>
      </c>
      <c r="V224" s="169">
        <f t="shared" si="73"/>
        <v>0</v>
      </c>
      <c r="W224" s="169">
        <f t="shared" si="74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70"/>
        <v>0</v>
      </c>
      <c r="AB224" s="169">
        <f t="shared" si="71"/>
        <v>0</v>
      </c>
      <c r="AC224" s="169">
        <f t="shared" si="75"/>
        <v>0</v>
      </c>
      <c r="AD224" s="169">
        <f t="shared" si="76"/>
        <v>0</v>
      </c>
      <c r="AE224" s="169">
        <f t="shared" si="77"/>
        <v>0</v>
      </c>
      <c r="AF224" s="169">
        <f t="shared" si="78"/>
        <v>0</v>
      </c>
      <c r="AG224" s="169">
        <f t="shared" si="79"/>
        <v>0</v>
      </c>
      <c r="AH224" s="169">
        <f t="shared" si="80"/>
        <v>0</v>
      </c>
      <c r="AI224" s="169">
        <f t="shared" si="81"/>
        <v>0</v>
      </c>
      <c r="AJ224" s="169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2"/>
        <v>0</v>
      </c>
      <c r="V225" s="169">
        <f t="shared" si="73"/>
        <v>0</v>
      </c>
      <c r="W225" s="169">
        <f t="shared" si="74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70"/>
        <v>0</v>
      </c>
      <c r="AB225" s="169">
        <f t="shared" si="71"/>
        <v>0</v>
      </c>
      <c r="AC225" s="169">
        <f t="shared" si="75"/>
        <v>0</v>
      </c>
      <c r="AD225" s="169">
        <f t="shared" si="76"/>
        <v>0</v>
      </c>
      <c r="AE225" s="169">
        <f t="shared" si="77"/>
        <v>0</v>
      </c>
      <c r="AF225" s="169">
        <f t="shared" si="78"/>
        <v>0</v>
      </c>
      <c r="AG225" s="169">
        <f t="shared" si="79"/>
        <v>0</v>
      </c>
      <c r="AH225" s="169">
        <f t="shared" si="80"/>
        <v>0</v>
      </c>
      <c r="AI225" s="169">
        <f t="shared" si="81"/>
        <v>0</v>
      </c>
      <c r="AJ225" s="169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2"/>
        <v>0</v>
      </c>
      <c r="V226" s="169">
        <f t="shared" si="73"/>
        <v>0</v>
      </c>
      <c r="W226" s="169">
        <f t="shared" si="74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70"/>
        <v>0</v>
      </c>
      <c r="AB226" s="169">
        <f t="shared" si="71"/>
        <v>0</v>
      </c>
      <c r="AC226" s="169">
        <f t="shared" si="75"/>
        <v>0</v>
      </c>
      <c r="AD226" s="169">
        <f t="shared" si="76"/>
        <v>0</v>
      </c>
      <c r="AE226" s="169">
        <f t="shared" si="77"/>
        <v>0</v>
      </c>
      <c r="AF226" s="169">
        <f t="shared" si="78"/>
        <v>0</v>
      </c>
      <c r="AG226" s="169">
        <f t="shared" si="79"/>
        <v>0</v>
      </c>
      <c r="AH226" s="169">
        <f t="shared" si="80"/>
        <v>0</v>
      </c>
      <c r="AI226" s="169">
        <f t="shared" si="81"/>
        <v>0</v>
      </c>
      <c r="AJ226" s="169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2"/>
        <v>0</v>
      </c>
      <c r="V227" s="169">
        <f t="shared" si="73"/>
        <v>0</v>
      </c>
      <c r="W227" s="169">
        <f t="shared" si="74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70"/>
        <v>0</v>
      </c>
      <c r="AB227" s="169">
        <f t="shared" si="71"/>
        <v>0</v>
      </c>
      <c r="AC227" s="169">
        <f t="shared" si="75"/>
        <v>0</v>
      </c>
      <c r="AD227" s="169">
        <f t="shared" si="76"/>
        <v>0</v>
      </c>
      <c r="AE227" s="169">
        <f t="shared" si="77"/>
        <v>0</v>
      </c>
      <c r="AF227" s="169">
        <f t="shared" si="78"/>
        <v>0</v>
      </c>
      <c r="AG227" s="169">
        <f t="shared" si="79"/>
        <v>0</v>
      </c>
      <c r="AH227" s="169">
        <f t="shared" si="80"/>
        <v>0</v>
      </c>
      <c r="AI227" s="169">
        <f t="shared" si="81"/>
        <v>0</v>
      </c>
      <c r="AJ227" s="169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672</v>
      </c>
      <c r="R228" s="2"/>
      <c r="S228" s="62">
        <f t="shared" ref="S228" si="83">SUM(S164:S227)</f>
        <v>27.3</v>
      </c>
      <c r="U228" s="62">
        <f>SUM(U164:U227)</f>
        <v>17.600000000000001</v>
      </c>
      <c r="V228" s="62">
        <f t="shared" ref="V228:W228" si="84">SUM(V164:V227)</f>
        <v>17.600000000000001</v>
      </c>
      <c r="W228" s="62">
        <f t="shared" si="84"/>
        <v>4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0.6</v>
      </c>
      <c r="AD228" s="62">
        <f>SUM(AD164:AD227)</f>
        <v>26.7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0.6</v>
      </c>
      <c r="AH228" s="62">
        <f t="shared" si="86"/>
        <v>9.6999999999999993</v>
      </c>
      <c r="AI228" s="62">
        <f t="shared" si="86"/>
        <v>0</v>
      </c>
      <c r="AJ228" s="62">
        <f t="shared" si="86"/>
        <v>17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1129</v>
      </c>
      <c r="V232" t="s">
        <v>1130</v>
      </c>
      <c r="W232" t="s">
        <v>1131</v>
      </c>
      <c r="X232" t="s">
        <v>1132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1133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1134</v>
      </c>
      <c r="T234" s="30">
        <f>Protection!AK25</f>
        <v>0</v>
      </c>
      <c r="U234" t="s">
        <v>1135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1136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1137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7"/>
        <v>0</v>
      </c>
      <c r="Z236" t="s">
        <v>1138</v>
      </c>
      <c r="AA236" t="s">
        <v>1139</v>
      </c>
      <c r="AB236" t="s">
        <v>1140</v>
      </c>
      <c r="AC236" t="s">
        <v>1141</v>
      </c>
      <c r="AD236" t="s">
        <v>1142</v>
      </c>
      <c r="AE236" t="s">
        <v>1143</v>
      </c>
      <c r="AF236" t="s">
        <v>1144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7">
        <f>[1]Protect!$B$19</f>
        <v>0.04</v>
      </c>
      <c r="AE237" s="209">
        <f>[1]Protect!$B$20</f>
        <v>10</v>
      </c>
      <c r="AF237" s="23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1146</v>
      </c>
      <c r="T240" s="30">
        <f>IF(Scénario!K87=3,Protection!AE33,0)</f>
        <v>0</v>
      </c>
      <c r="U240" t="s">
        <v>1135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7">
        <f>[1]Protect!$B$19</f>
        <v>0.04</v>
      </c>
      <c r="AE240" s="209">
        <f>[1]Protect!$B$20</f>
        <v>10</v>
      </c>
      <c r="AF240" s="23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1147</v>
      </c>
      <c r="W244" t="s">
        <v>1078</v>
      </c>
      <c r="X244" t="s">
        <v>969</v>
      </c>
    </row>
    <row r="245" spans="17:31" x14ac:dyDescent="0.25">
      <c r="Q245" s="15"/>
      <c r="S245" s="14" t="s">
        <v>1148</v>
      </c>
      <c r="T245" s="30">
        <f>IF(Scénario!K87=0,0,Protection!AJ8)</f>
        <v>2</v>
      </c>
      <c r="X245" s="169">
        <f>ROUND((([1]Protect!$B$5/[1]Protect!$B$11)+[1]Protect!$B$8)*T245,0)</f>
        <v>1809</v>
      </c>
    </row>
    <row r="246" spans="17:31" x14ac:dyDescent="0.25">
      <c r="Q246" s="15"/>
      <c r="S246" s="14" t="s">
        <v>1149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1150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1151</v>
      </c>
      <c r="X248" s="169">
        <f>SUM(X245:X247)</f>
        <v>1809</v>
      </c>
    </row>
    <row r="249" spans="17:31" x14ac:dyDescent="0.25">
      <c r="W249" s="14" t="s">
        <v>1152</v>
      </c>
      <c r="X249" s="169">
        <f>ROUND(X246+X247+Protection!AJ5*(([1]Protect!$B$5/[1]Protect!$B$11)+[1]Protect!$B$8),0)</f>
        <v>0</v>
      </c>
      <c r="AB249" t="s">
        <v>1153</v>
      </c>
    </row>
    <row r="250" spans="17:31" x14ac:dyDescent="0.25">
      <c r="AB250" t="s">
        <v>1154</v>
      </c>
    </row>
    <row r="254" spans="17:31" x14ac:dyDescent="0.25">
      <c r="S254" s="40" t="s">
        <v>1155</v>
      </c>
      <c r="T254" s="4">
        <f>IF(Scénario!K53="OL",Scénario!K55*(1/0.15)*Scénario!K56,0)</f>
        <v>0</v>
      </c>
      <c r="Y254" s="40" t="s">
        <v>1156</v>
      </c>
      <c r="Z254">
        <f>IF(Troupeau!B3="OL",Troupeau!B17,0)</f>
        <v>0</v>
      </c>
    </row>
    <row r="255" spans="17:31" x14ac:dyDescent="0.25">
      <c r="U255" t="s">
        <v>1157</v>
      </c>
      <c r="AA255" t="s">
        <v>1157</v>
      </c>
    </row>
    <row r="256" spans="17:31" x14ac:dyDescent="0.25">
      <c r="S256" s="14" t="s">
        <v>1158</v>
      </c>
      <c r="T256" s="30">
        <f>IF(T254&lt;151,1,0)</f>
        <v>1</v>
      </c>
      <c r="U256" s="169">
        <f>IF(T256=0,0,[1]Protect!$B76)</f>
        <v>7500</v>
      </c>
      <c r="Y256" s="14" t="s">
        <v>1159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1160</v>
      </c>
      <c r="T257" s="30">
        <f>IF(AND(150 &lt;T$254,T$254&lt;451),1,0)</f>
        <v>0</v>
      </c>
      <c r="U257" s="169">
        <f>IF(T257=0,0,[1]Protect!$B77)</f>
        <v>0</v>
      </c>
      <c r="Y257" s="14" t="s">
        <v>1161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1162</v>
      </c>
      <c r="T258" s="30">
        <f>IF(AND(540 &lt;T$254,T$254&lt;1201),1,0)</f>
        <v>0</v>
      </c>
      <c r="U258" s="169">
        <f>IF(T258=0,0,[1]Protect!$B78)</f>
        <v>0</v>
      </c>
      <c r="Y258" s="14" t="s">
        <v>1163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1164</v>
      </c>
      <c r="T259" s="30">
        <f>IF(AND(1200&lt;T$254,T$254&lt;1501),1,0)</f>
        <v>0</v>
      </c>
      <c r="U259" s="169">
        <f>IF(T259=0,0,[1]Protect!$B79)</f>
        <v>0</v>
      </c>
      <c r="Y259" s="14" t="s">
        <v>1165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1166</v>
      </c>
      <c r="T260" s="30">
        <f>IF(1500&lt;T$254,1,0)</f>
        <v>0</v>
      </c>
      <c r="U260" s="169">
        <f>IF(T260=0,0,[1]Protect!$B80)</f>
        <v>0</v>
      </c>
      <c r="Y260" s="14" t="s">
        <v>1167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1168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1169</v>
      </c>
      <c r="V264" s="169">
        <f>IF(X$249&lt;SUM(U256:U260),X$249*0.8,SUM(U256:U260))</f>
        <v>0</v>
      </c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5"/>
    </row>
    <row r="265" spans="16:37" x14ac:dyDescent="0.25">
      <c r="P265" s="5"/>
      <c r="U265" s="14" t="s">
        <v>1170</v>
      </c>
      <c r="V265" s="169">
        <f>IF(X$249&lt;SUM(AA256:AA260),X$249*0.8,SUM(AA256:AA260))</f>
        <v>0</v>
      </c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5"/>
    </row>
    <row r="266" spans="16:37" x14ac:dyDescent="0.25">
      <c r="P266" s="5"/>
      <c r="Z266" s="238"/>
      <c r="AA266" s="239"/>
      <c r="AB266" s="239"/>
      <c r="AC266" s="239"/>
      <c r="AD266" s="239"/>
      <c r="AE266" s="239"/>
      <c r="AF266" s="239"/>
      <c r="AG266" s="238"/>
      <c r="AH266" s="238"/>
      <c r="AI266" s="238"/>
      <c r="AJ266" s="238"/>
      <c r="AK266" s="5"/>
    </row>
    <row r="267" spans="16:37" x14ac:dyDescent="0.25">
      <c r="P267" s="5"/>
      <c r="Z267" s="238"/>
      <c r="AA267" s="239"/>
      <c r="AB267" s="239"/>
      <c r="AC267" s="239"/>
      <c r="AD267" s="239"/>
      <c r="AE267" s="239"/>
      <c r="AF267" s="239"/>
      <c r="AG267" s="238"/>
      <c r="AH267" s="238"/>
      <c r="AI267" s="238"/>
      <c r="AJ267" s="238"/>
      <c r="AK267" s="5"/>
    </row>
    <row r="268" spans="16:37" x14ac:dyDescent="0.25">
      <c r="P268" s="5"/>
      <c r="Q268" s="240"/>
      <c r="R268" s="241"/>
      <c r="S268" s="241"/>
      <c r="T268" s="242"/>
      <c r="U268" s="242"/>
      <c r="V268" s="242"/>
      <c r="W268" s="243"/>
      <c r="X268" s="243"/>
      <c r="Y268" s="238"/>
      <c r="Z268" s="239"/>
      <c r="AA268" s="238"/>
      <c r="AB268" s="238"/>
      <c r="AC268" s="238"/>
      <c r="AD268" s="238"/>
      <c r="AE268" s="244"/>
      <c r="AF268" s="244"/>
      <c r="AG268" s="238"/>
      <c r="AH268" s="238"/>
      <c r="AI268" s="238"/>
      <c r="AJ268" s="238"/>
      <c r="AK268" s="5"/>
    </row>
    <row r="269" spans="16:37" x14ac:dyDescent="0.25">
      <c r="P269" s="5"/>
      <c r="Q269" s="2" t="s">
        <v>1171</v>
      </c>
      <c r="Z269" s="239"/>
      <c r="AA269" s="238"/>
      <c r="AB269" s="238"/>
      <c r="AC269" s="238"/>
      <c r="AD269" s="238"/>
      <c r="AE269" s="244"/>
      <c r="AF269" s="244"/>
      <c r="AG269" s="238"/>
      <c r="AH269" s="238"/>
      <c r="AI269" s="238"/>
      <c r="AJ269" s="238"/>
      <c r="AK269" s="5"/>
    </row>
    <row r="270" spans="16:37" x14ac:dyDescent="0.25">
      <c r="P270" s="5"/>
      <c r="T270" s="33" t="s">
        <v>1172</v>
      </c>
      <c r="U270" s="33"/>
      <c r="V270" s="33"/>
      <c r="W270" s="33" t="s">
        <v>1173</v>
      </c>
      <c r="X270" s="33" t="s">
        <v>1036</v>
      </c>
      <c r="Z270" s="239"/>
      <c r="AA270" s="238"/>
      <c r="AB270" s="238"/>
      <c r="AC270" s="238"/>
      <c r="AD270" s="238"/>
      <c r="AE270" s="245"/>
      <c r="AF270" s="244"/>
      <c r="AG270" s="238"/>
      <c r="AH270" s="238"/>
      <c r="AI270" s="238"/>
      <c r="AJ270" s="238"/>
      <c r="AK270" s="5"/>
    </row>
    <row r="271" spans="16:37" x14ac:dyDescent="0.25">
      <c r="P271" s="5"/>
      <c r="S271" s="14" t="s">
        <v>1174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8"/>
      <c r="AA271" s="238"/>
      <c r="AB271" s="238"/>
      <c r="AC271" s="238"/>
      <c r="AD271" s="239"/>
      <c r="AE271" s="246"/>
      <c r="AF271" s="246"/>
      <c r="AG271" s="238"/>
      <c r="AH271" s="238"/>
      <c r="AI271" s="238"/>
      <c r="AJ271" s="238"/>
      <c r="AK271" s="5"/>
    </row>
    <row r="272" spans="16:37" x14ac:dyDescent="0.25">
      <c r="P272" s="5"/>
      <c r="S272" s="14" t="s">
        <v>1175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5"/>
    </row>
    <row r="273" spans="16:37" x14ac:dyDescent="0.25">
      <c r="P273" s="5"/>
      <c r="S273" s="14" t="s">
        <v>1176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5"/>
    </row>
    <row r="274" spans="16:37" x14ac:dyDescent="0.25">
      <c r="P274" s="5"/>
      <c r="Q274" s="247"/>
      <c r="S274" s="14" t="s">
        <v>1136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5"/>
    </row>
    <row r="275" spans="16:37" x14ac:dyDescent="0.25">
      <c r="P275" s="5"/>
      <c r="Q275" s="240"/>
      <c r="S275" s="14" t="s">
        <v>1137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8"/>
      <c r="Z275" s="32"/>
      <c r="AA275" s="238"/>
      <c r="AB275" s="248"/>
      <c r="AC275" s="238"/>
      <c r="AD275" s="238"/>
      <c r="AE275" s="238"/>
      <c r="AF275" s="238"/>
      <c r="AG275" s="238"/>
      <c r="AH275" s="238"/>
      <c r="AI275" s="238"/>
      <c r="AJ275" s="238"/>
      <c r="AK275" s="5"/>
    </row>
    <row r="276" spans="16:37" x14ac:dyDescent="0.25">
      <c r="P276" s="5"/>
      <c r="Q276" s="240"/>
      <c r="R276" s="241"/>
      <c r="S276" s="249"/>
      <c r="T276" s="242"/>
      <c r="U276" s="242"/>
      <c r="V276" s="242"/>
      <c r="W276" s="242"/>
      <c r="X276" s="238"/>
      <c r="Y276" s="238"/>
      <c r="Z276" s="32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5"/>
    </row>
    <row r="277" spans="16:37" x14ac:dyDescent="0.25">
      <c r="P277" s="5"/>
      <c r="Q277" s="240"/>
      <c r="R277" s="241"/>
      <c r="S277" s="249"/>
      <c r="T277" s="242"/>
      <c r="U277" s="242"/>
      <c r="V277" s="242"/>
      <c r="W277" s="242"/>
      <c r="X277" s="242"/>
      <c r="Y277" s="238"/>
      <c r="Z277" s="32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5"/>
    </row>
    <row r="278" spans="16:37" x14ac:dyDescent="0.25">
      <c r="P278" s="5"/>
      <c r="Q278" s="210"/>
      <c r="R278" s="238"/>
      <c r="S278" s="238"/>
      <c r="T278" s="238"/>
      <c r="U278" s="238"/>
      <c r="V278" s="238"/>
      <c r="W278" s="238"/>
      <c r="X278" s="238"/>
      <c r="Y278" s="238"/>
      <c r="Z278" s="32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5"/>
    </row>
    <row r="279" spans="16:37" x14ac:dyDescent="0.25">
      <c r="P279" s="5"/>
      <c r="Q279" s="247"/>
      <c r="R279" s="239"/>
      <c r="S279" s="239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5"/>
    </row>
    <row r="280" spans="16:37" x14ac:dyDescent="0.25">
      <c r="P280" s="5"/>
      <c r="Q280" s="210"/>
      <c r="R280" s="250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5"/>
    </row>
    <row r="281" spans="16:37" x14ac:dyDescent="0.25">
      <c r="P281" s="5"/>
      <c r="Q281" s="210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5"/>
    </row>
    <row r="282" spans="16:37" x14ac:dyDescent="0.25">
      <c r="P282" s="5"/>
      <c r="Q282" s="210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5"/>
    </row>
    <row r="283" spans="16:37" x14ac:dyDescent="0.25">
      <c r="P283" s="5"/>
      <c r="Q283" s="210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5"/>
    </row>
    <row r="284" spans="16:37" x14ac:dyDescent="0.25">
      <c r="P284" s="5"/>
      <c r="Q284" s="210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5"/>
    </row>
    <row r="285" spans="16:37" x14ac:dyDescent="0.25">
      <c r="P285" s="5"/>
      <c r="Q285" s="210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5"/>
    </row>
    <row r="286" spans="16:37" x14ac:dyDescent="0.25">
      <c r="P286" s="5"/>
      <c r="Q286" s="210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5"/>
    </row>
    <row r="287" spans="16:37" x14ac:dyDescent="0.25">
      <c r="P287" s="5"/>
      <c r="Q287" s="210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5"/>
    </row>
    <row r="288" spans="16:37" x14ac:dyDescent="0.25">
      <c r="P288" s="5"/>
      <c r="Q288" s="210"/>
      <c r="R288" s="238"/>
      <c r="S288" s="238"/>
      <c r="T288" s="238"/>
      <c r="U288" s="238"/>
      <c r="V288" s="238"/>
      <c r="W288" s="5"/>
      <c r="X288" s="5"/>
      <c r="Y288" s="5"/>
      <c r="Z288" s="5"/>
      <c r="AA288" s="5"/>
      <c r="AB288" s="5"/>
      <c r="AC288" s="5"/>
      <c r="AD288" s="5"/>
      <c r="AE288" s="238"/>
      <c r="AF288" s="238"/>
      <c r="AG288" s="238"/>
      <c r="AH288" s="238"/>
      <c r="AI288" s="238"/>
      <c r="AJ288" s="238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304" sqref="C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483</v>
      </c>
      <c r="C1" s="251" t="str">
        <f>Scénario!K1</f>
        <v>Z1_BV_T2_s5</v>
      </c>
      <c r="D1" s="251" t="str">
        <f>CONCATENATE(C1,"_corr")</f>
        <v>Z1_BV_T2_s5_corr</v>
      </c>
    </row>
    <row r="2" spans="2:4" x14ac:dyDescent="0.25">
      <c r="B2" s="14" t="s">
        <v>484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486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489</v>
      </c>
      <c r="C4" s="173">
        <f>Scénario!K4</f>
        <v>1</v>
      </c>
      <c r="D4" s="173">
        <f t="shared" si="0"/>
        <v>1</v>
      </c>
    </row>
    <row r="5" spans="2:4" x14ac:dyDescent="0.25">
      <c r="B5" s="14" t="s">
        <v>491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494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500</v>
      </c>
      <c r="C7" s="173">
        <f>Scénario!K8</f>
        <v>1</v>
      </c>
      <c r="D7" s="173">
        <f t="shared" si="0"/>
        <v>1</v>
      </c>
    </row>
    <row r="8" spans="2:4" x14ac:dyDescent="0.25">
      <c r="B8" s="14" t="s">
        <v>504</v>
      </c>
      <c r="C8" s="173" t="str">
        <f>Scénario!K9</f>
        <v>M1</v>
      </c>
      <c r="D8" s="173" t="str">
        <f t="shared" si="0"/>
        <v>M1</v>
      </c>
    </row>
    <row r="9" spans="2:4" x14ac:dyDescent="0.25">
      <c r="B9" s="14" t="s">
        <v>508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512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515</v>
      </c>
      <c r="C11" s="173" t="str">
        <f>Scénario!K12</f>
        <v>BV</v>
      </c>
      <c r="D11" s="173" t="str">
        <f t="shared" si="0"/>
        <v>BV</v>
      </c>
    </row>
    <row r="12" spans="2:4" x14ac:dyDescent="0.25">
      <c r="B12" s="14" t="s">
        <v>493</v>
      </c>
      <c r="C12" s="173" t="str">
        <f>Scénario!K13</f>
        <v>T2</v>
      </c>
      <c r="D12" s="173" t="str">
        <f t="shared" si="0"/>
        <v>T2</v>
      </c>
    </row>
    <row r="13" spans="2:4" x14ac:dyDescent="0.25">
      <c r="B13" s="32" t="s">
        <v>525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528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531</v>
      </c>
      <c r="C15" s="173">
        <f>Scénario!K18</f>
        <v>20</v>
      </c>
      <c r="D15" s="173">
        <f t="shared" si="0"/>
        <v>20</v>
      </c>
    </row>
    <row r="16" spans="2:4" x14ac:dyDescent="0.25">
      <c r="B16" s="14" t="s">
        <v>533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534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547</v>
      </c>
      <c r="C18" s="173">
        <f>Scénario!K28</f>
        <v>15.6</v>
      </c>
      <c r="D18" s="173">
        <f t="shared" si="0"/>
        <v>15.6</v>
      </c>
    </row>
    <row r="19" spans="2:5" x14ac:dyDescent="0.25">
      <c r="B19" s="14" t="s">
        <v>548</v>
      </c>
      <c r="C19" s="173">
        <f>Scénario!K29</f>
        <v>14.6</v>
      </c>
      <c r="D19" s="173">
        <f t="shared" si="0"/>
        <v>14.6</v>
      </c>
    </row>
    <row r="20" spans="2:5" x14ac:dyDescent="0.25">
      <c r="B20" s="14" t="s">
        <v>549</v>
      </c>
      <c r="C20" s="173">
        <f>Scénario!K30</f>
        <v>2</v>
      </c>
      <c r="D20" s="173">
        <f t="shared" si="0"/>
        <v>2</v>
      </c>
    </row>
    <row r="21" spans="2:5" x14ac:dyDescent="0.25">
      <c r="B21" s="14" t="s">
        <v>550</v>
      </c>
      <c r="C21" s="173">
        <f>Scénario!K31</f>
        <v>20</v>
      </c>
      <c r="D21" s="173">
        <f t="shared" si="0"/>
        <v>20</v>
      </c>
    </row>
    <row r="22" spans="2:5" x14ac:dyDescent="0.25">
      <c r="B22" s="14" t="s">
        <v>1177</v>
      </c>
      <c r="C22" s="173" t="str">
        <f>Scénario!K53</f>
        <v>BV</v>
      </c>
      <c r="D22" s="173" t="str">
        <f t="shared" si="0"/>
        <v>BV</v>
      </c>
    </row>
    <row r="23" spans="2:5" x14ac:dyDescent="0.25">
      <c r="B23" s="14" t="s">
        <v>569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570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571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574</v>
      </c>
      <c r="C26" s="173" t="str">
        <f>Scénario!K57</f>
        <v>1. 1 visite par semaine</v>
      </c>
      <c r="D26" s="173" t="str">
        <f t="shared" si="0"/>
        <v>1. 1 visite par semaine</v>
      </c>
    </row>
    <row r="27" spans="2:5" x14ac:dyDescent="0.25">
      <c r="B27" s="14" t="s">
        <v>577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579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565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581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584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586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587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1178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590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591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592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593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594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595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596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1179</v>
      </c>
      <c r="C42" s="173" t="str">
        <f>Scénario!K75</f>
        <v>BV</v>
      </c>
      <c r="D42" s="173" t="str">
        <f t="shared" si="0"/>
        <v>BV</v>
      </c>
      <c r="E42" s="14"/>
    </row>
    <row r="43" spans="2:5" x14ac:dyDescent="0.25">
      <c r="B43" s="14" t="s">
        <v>601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603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1180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606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607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1181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610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613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623</v>
      </c>
      <c r="C51" s="173">
        <f>Scénario!K87</f>
        <v>5</v>
      </c>
      <c r="D51" s="173">
        <f t="shared" si="0"/>
        <v>5</v>
      </c>
      <c r="E51" s="14"/>
    </row>
    <row r="52" spans="1:132" x14ac:dyDescent="0.25">
      <c r="B52" s="19" t="s">
        <v>600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611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628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628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609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1182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630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631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641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643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1183</v>
      </c>
      <c r="B62" s="14" t="s">
        <v>1184</v>
      </c>
      <c r="C62" s="169" t="str">
        <f>Scénario!K12</f>
        <v>BV</v>
      </c>
      <c r="D62" s="169" t="str">
        <f>C62</f>
        <v>BV</v>
      </c>
      <c r="AS62" s="40" t="s">
        <v>567</v>
      </c>
      <c r="AT62" s="169" t="str">
        <f>Troupeau!B3</f>
        <v>BV</v>
      </c>
      <c r="AU62" s="169">
        <f>IF(AT62="OL",1,IF(AT62="BV",2,IF(AT62="BL",3,IF(AT62="EQ",4,0))))</f>
        <v>2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581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588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1185</v>
      </c>
      <c r="C63" s="169">
        <f>IF(Troupeau!B3="OL",Troupeau!B17,0)</f>
        <v>0</v>
      </c>
      <c r="D63" s="252">
        <f>ROUND(C63*$D$82/$C$82,3)</f>
        <v>0</v>
      </c>
      <c r="F63" s="253" t="s">
        <v>1186</v>
      </c>
      <c r="G63">
        <f>D82/C82</f>
        <v>0</v>
      </c>
      <c r="AT63" s="2" t="s">
        <v>777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1187</v>
      </c>
      <c r="C64" s="169">
        <f>IF(Troupeau!B3="BL",Troupeau!B17,0)</f>
        <v>0</v>
      </c>
      <c r="D64" s="252">
        <f t="shared" ref="D64:D66" si="1">ROUND(C64*$D$82/$C$82,3)</f>
        <v>0</v>
      </c>
      <c r="F64" s="183" t="s">
        <v>1188</v>
      </c>
      <c r="AT64" s="183" t="str">
        <f>AT87</f>
        <v>Vaches suitées au pâturage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1189</v>
      </c>
      <c r="C65" s="169">
        <f>IF(Troupeau!B3="BV",Troupeau!B17,0)+IF(Troupeau!C3="BV",Troupeau!C17,0)</f>
        <v>40</v>
      </c>
      <c r="D65" s="252">
        <f t="shared" si="1"/>
        <v>0</v>
      </c>
      <c r="F65" s="254" t="s">
        <v>1190</v>
      </c>
      <c r="AT65" s="183" t="str">
        <f t="shared" ref="AT65:AT73" si="2">AT88</f>
        <v xml:space="preserve">Vaches lot principal 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1191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renouvellement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1192</v>
      </c>
      <c r="C67" s="169">
        <f>CdTrp1!AA49</f>
        <v>43.220930232558139</v>
      </c>
      <c r="D67" s="252">
        <f>ROUND(C67*$D$82/$C$82,3)</f>
        <v>0</v>
      </c>
      <c r="AT67" s="183" t="str">
        <f t="shared" si="2"/>
        <v>génisses 2/3 ans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1193</v>
      </c>
      <c r="C68" s="169">
        <f>CdTrp2!AA49</f>
        <v>0</v>
      </c>
      <c r="D68" s="252">
        <f>ROUND(C68*$D$82/$C$82,3)</f>
        <v>0</v>
      </c>
      <c r="AT68" s="183" t="str">
        <f t="shared" si="2"/>
        <v>tardive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1194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1195</v>
      </c>
      <c r="C70" s="169">
        <f>SUM(C67:C69)</f>
        <v>43.220930232558139</v>
      </c>
      <c r="D70" s="252">
        <f>ROUND(C70*$D$82/$C$82,3)</f>
        <v>0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1196</v>
      </c>
      <c r="C71" s="169">
        <f>Scénario!K33</f>
        <v>2.1</v>
      </c>
      <c r="D71" s="252">
        <f t="shared" ref="D71:D80" si="3">ROUND(C71*$D$82/$C$82,3)</f>
        <v>0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1197</v>
      </c>
      <c r="C72" s="169">
        <f>'Calcul éco'!$AA$228</f>
        <v>0</v>
      </c>
      <c r="D72" s="252">
        <f t="shared" si="3"/>
        <v>0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1198</v>
      </c>
      <c r="C73" s="169">
        <f>'Calcul éco'!$AC$228</f>
        <v>0.6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1199</v>
      </c>
      <c r="C74" s="169">
        <f>C71+C73</f>
        <v>2.7</v>
      </c>
      <c r="D74" s="252">
        <f t="shared" si="3"/>
        <v>0</v>
      </c>
      <c r="AT74" s="2" t="s">
        <v>781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1200</v>
      </c>
      <c r="C75" s="169">
        <f>'Alim -Surf'!$O$7+'Alim -Surf'!$O$29-C72-C73</f>
        <v>17</v>
      </c>
      <c r="D75" s="252">
        <f t="shared" si="3"/>
        <v>0</v>
      </c>
      <c r="AT75" s="183" t="str">
        <f t="shared" ref="AT75:AT82" si="4">AT87</f>
        <v>Vaches suitées au pâturage</v>
      </c>
      <c r="AV75" s="169">
        <f t="shared" ref="AV75:BS82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1201</v>
      </c>
      <c r="C76" s="169">
        <f>'Calcul éco'!AO166</f>
        <v>0.6</v>
      </c>
      <c r="D76" s="252">
        <f t="shared" si="3"/>
        <v>0</v>
      </c>
      <c r="AT76" s="183" t="str">
        <f t="shared" si="4"/>
        <v xml:space="preserve">Vaches lot principal </v>
      </c>
      <c r="AV76" s="169">
        <f t="shared" si="5"/>
        <v>0</v>
      </c>
      <c r="AW76" s="169">
        <f t="shared" si="5"/>
        <v>0</v>
      </c>
      <c r="AX76" s="169">
        <f t="shared" si="5"/>
        <v>0</v>
      </c>
      <c r="AY76" s="169">
        <f t="shared" si="5"/>
        <v>0</v>
      </c>
      <c r="AZ76" s="169">
        <f t="shared" si="5"/>
        <v>0</v>
      </c>
      <c r="BA76" s="169">
        <f t="shared" si="5"/>
        <v>0</v>
      </c>
      <c r="BB76" s="169">
        <f t="shared" si="5"/>
        <v>0</v>
      </c>
      <c r="BC76" s="169">
        <f t="shared" si="5"/>
        <v>0</v>
      </c>
      <c r="BD76" s="169">
        <f t="shared" si="5"/>
        <v>0</v>
      </c>
      <c r="BE76" s="169">
        <f t="shared" si="5"/>
        <v>0</v>
      </c>
      <c r="BF76" s="169">
        <f t="shared" si="5"/>
        <v>0</v>
      </c>
      <c r="BG76" s="169">
        <f t="shared" si="5"/>
        <v>0</v>
      </c>
      <c r="BH76" s="169">
        <f t="shared" si="5"/>
        <v>0</v>
      </c>
      <c r="BI76" s="169">
        <f t="shared" si="5"/>
        <v>0</v>
      </c>
      <c r="BJ76" s="169">
        <f t="shared" si="5"/>
        <v>0</v>
      </c>
      <c r="BK76" s="169">
        <f t="shared" si="5"/>
        <v>0</v>
      </c>
      <c r="BL76" s="169">
        <f t="shared" si="5"/>
        <v>0</v>
      </c>
      <c r="BM76" s="169">
        <f t="shared" si="5"/>
        <v>0</v>
      </c>
      <c r="BN76" s="169">
        <f t="shared" si="5"/>
        <v>0</v>
      </c>
      <c r="BO76" s="169">
        <f t="shared" si="5"/>
        <v>0</v>
      </c>
      <c r="BP76" s="169">
        <f t="shared" si="5"/>
        <v>0</v>
      </c>
      <c r="BQ76" s="169">
        <f t="shared" si="5"/>
        <v>0</v>
      </c>
      <c r="BR76" s="169">
        <f t="shared" si="5"/>
        <v>0</v>
      </c>
      <c r="BS76" s="169">
        <f t="shared" si="5"/>
        <v>0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1202</v>
      </c>
      <c r="C77" s="169">
        <f>'Calcul éco'!AO169</f>
        <v>0</v>
      </c>
      <c r="D77" s="252">
        <f t="shared" si="3"/>
        <v>0</v>
      </c>
      <c r="AT77" s="183" t="str">
        <f t="shared" si="4"/>
        <v>Génisses renouvellement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1203</v>
      </c>
      <c r="C78" s="169">
        <f>'Calcul éco'!AO165</f>
        <v>7.5</v>
      </c>
      <c r="D78" s="252">
        <f t="shared" si="3"/>
        <v>0</v>
      </c>
      <c r="AT78" s="183" t="str">
        <f t="shared" si="4"/>
        <v>génisses 2/3 ans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1204</v>
      </c>
      <c r="C79" s="169">
        <f>'Calcul éco'!AO168</f>
        <v>9.5</v>
      </c>
      <c r="D79" s="252">
        <f t="shared" si="3"/>
        <v>0</v>
      </c>
      <c r="AT79" s="183" t="str">
        <f t="shared" si="4"/>
        <v>tardive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1205</v>
      </c>
      <c r="C80" s="169">
        <f>'Calcul éco'!AO171</f>
        <v>9.6999999999999993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1206</v>
      </c>
      <c r="C81" s="169">
        <f>C74+C75</f>
        <v>19.7</v>
      </c>
      <c r="D81" s="252">
        <f>ROUND(C81*$D$82/$C$82,3)</f>
        <v>0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1207</v>
      </c>
      <c r="C82" s="169">
        <f>C81+C80</f>
        <v>29.4</v>
      </c>
      <c r="D82" s="80"/>
      <c r="E82" s="85" t="s">
        <v>1208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1209</v>
      </c>
      <c r="C83" s="169">
        <f>Scénario!K4+Scénario!K6</f>
        <v>1</v>
      </c>
      <c r="D83" s="80"/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1210</v>
      </c>
      <c r="C84" s="169">
        <f>ROUND(C70/C82,3)</f>
        <v>1.47</v>
      </c>
      <c r="D84" s="169" t="e">
        <f>ROUND(D70/D82,3)</f>
        <v>#DIV/0!</v>
      </c>
      <c r="AT84" s="183" t="str">
        <f t="shared" ref="AT84:AT85" si="10">AT95</f>
        <v>lot9</v>
      </c>
      <c r="AV84" s="169">
        <f t="shared" ref="AV84:BS85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5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5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1211</v>
      </c>
      <c r="B85" s="14" t="s">
        <v>1212</v>
      </c>
      <c r="C85" s="169">
        <f>'Calcul éco'!$U$228</f>
        <v>17.600000000000001</v>
      </c>
      <c r="D85" s="255">
        <f>ROUND(C85*$D$82/$C$82,3)</f>
        <v>0</v>
      </c>
      <c r="AT85" s="183" t="str">
        <f t="shared" si="10"/>
        <v>lot10</v>
      </c>
      <c r="AV85" s="169">
        <f t="shared" si="11"/>
        <v>0</v>
      </c>
      <c r="AW85" s="169">
        <f t="shared" si="11"/>
        <v>0</v>
      </c>
      <c r="AX85" s="169">
        <f t="shared" si="11"/>
        <v>0</v>
      </c>
      <c r="AY85" s="169">
        <f t="shared" si="11"/>
        <v>0</v>
      </c>
      <c r="AZ85" s="169">
        <f t="shared" si="11"/>
        <v>0</v>
      </c>
      <c r="BA85" s="169">
        <f t="shared" si="11"/>
        <v>0</v>
      </c>
      <c r="BB85" s="169">
        <f t="shared" si="11"/>
        <v>0</v>
      </c>
      <c r="BC85" s="169">
        <f t="shared" si="11"/>
        <v>0</v>
      </c>
      <c r="BD85" s="169">
        <f t="shared" si="11"/>
        <v>0</v>
      </c>
      <c r="BE85" s="169">
        <f t="shared" si="11"/>
        <v>0</v>
      </c>
      <c r="BF85" s="169">
        <f t="shared" si="11"/>
        <v>0</v>
      </c>
      <c r="BG85" s="169">
        <f t="shared" si="11"/>
        <v>0</v>
      </c>
      <c r="BH85" s="169">
        <f t="shared" si="11"/>
        <v>0</v>
      </c>
      <c r="BI85" s="169">
        <f t="shared" si="11"/>
        <v>0</v>
      </c>
      <c r="BJ85" s="169">
        <f t="shared" si="11"/>
        <v>0</v>
      </c>
      <c r="BK85" s="169">
        <f t="shared" si="11"/>
        <v>0</v>
      </c>
      <c r="BL85" s="169">
        <f t="shared" si="11"/>
        <v>0</v>
      </c>
      <c r="BM85" s="169">
        <f t="shared" si="11"/>
        <v>0</v>
      </c>
      <c r="BN85" s="169">
        <f t="shared" si="11"/>
        <v>0</v>
      </c>
      <c r="BO85" s="169">
        <f t="shared" si="11"/>
        <v>0</v>
      </c>
      <c r="BP85" s="169">
        <f t="shared" si="11"/>
        <v>0</v>
      </c>
      <c r="BQ85" s="169">
        <f t="shared" si="11"/>
        <v>0</v>
      </c>
      <c r="BR85" s="169">
        <f t="shared" si="11"/>
        <v>0</v>
      </c>
      <c r="BS85" s="169">
        <f t="shared" si="11"/>
        <v>0</v>
      </c>
      <c r="BZ85" s="183" t="str">
        <f>+BZ73</f>
        <v>lot10</v>
      </c>
      <c r="CB85" s="169">
        <f t="shared" si="12"/>
        <v>0</v>
      </c>
      <c r="CC85" s="169">
        <f t="shared" si="12"/>
        <v>0</v>
      </c>
      <c r="CD85" s="169">
        <f t="shared" si="12"/>
        <v>0</v>
      </c>
      <c r="CE85" s="169">
        <f t="shared" si="12"/>
        <v>0</v>
      </c>
      <c r="CF85" s="169">
        <f t="shared" si="12"/>
        <v>0</v>
      </c>
      <c r="CG85" s="169">
        <f t="shared" si="12"/>
        <v>0</v>
      </c>
      <c r="CH85" s="169">
        <f t="shared" si="12"/>
        <v>0</v>
      </c>
      <c r="CI85" s="169">
        <f t="shared" si="12"/>
        <v>0</v>
      </c>
      <c r="CJ85" s="169">
        <f t="shared" si="12"/>
        <v>0</v>
      </c>
      <c r="CK85" s="169">
        <f t="shared" si="12"/>
        <v>0</v>
      </c>
      <c r="CL85" s="169">
        <f t="shared" si="12"/>
        <v>0</v>
      </c>
      <c r="CM85" s="169">
        <f t="shared" si="12"/>
        <v>0</v>
      </c>
      <c r="CN85" s="169">
        <f t="shared" si="12"/>
        <v>0</v>
      </c>
      <c r="CO85" s="169">
        <f t="shared" si="12"/>
        <v>0</v>
      </c>
      <c r="CP85" s="169">
        <f t="shared" si="12"/>
        <v>0</v>
      </c>
      <c r="CQ85" s="169">
        <f t="shared" si="12"/>
        <v>0</v>
      </c>
      <c r="CR85" s="169">
        <f t="shared" si="12"/>
        <v>0</v>
      </c>
      <c r="CS85" s="169">
        <f t="shared" si="12"/>
        <v>0</v>
      </c>
      <c r="CT85" s="169">
        <f t="shared" si="12"/>
        <v>0</v>
      </c>
      <c r="CU85" s="169">
        <f t="shared" si="12"/>
        <v>0</v>
      </c>
      <c r="CV85" s="169">
        <f t="shared" si="12"/>
        <v>0</v>
      </c>
      <c r="CW85" s="169">
        <f t="shared" si="12"/>
        <v>0</v>
      </c>
      <c r="CX85" s="169">
        <f t="shared" si="12"/>
        <v>0</v>
      </c>
      <c r="CY85" s="169">
        <f t="shared" si="12"/>
        <v>0</v>
      </c>
      <c r="DC85" s="183" t="str">
        <f>+DC73</f>
        <v>lot10</v>
      </c>
      <c r="DE85" s="169">
        <f t="shared" si="13"/>
        <v>0</v>
      </c>
      <c r="DF85" s="169">
        <f t="shared" si="13"/>
        <v>0</v>
      </c>
      <c r="DG85" s="169">
        <f t="shared" si="13"/>
        <v>0</v>
      </c>
      <c r="DH85" s="169">
        <f t="shared" si="13"/>
        <v>0</v>
      </c>
      <c r="DI85" s="169">
        <f t="shared" si="13"/>
        <v>0</v>
      </c>
      <c r="DJ85" s="169">
        <f t="shared" si="13"/>
        <v>0</v>
      </c>
      <c r="DK85" s="169">
        <f t="shared" si="13"/>
        <v>0</v>
      </c>
      <c r="DL85" s="169">
        <f t="shared" si="13"/>
        <v>0</v>
      </c>
      <c r="DM85" s="169">
        <f t="shared" si="13"/>
        <v>0</v>
      </c>
      <c r="DN85" s="169">
        <f t="shared" si="13"/>
        <v>0</v>
      </c>
      <c r="DO85" s="169">
        <f t="shared" si="13"/>
        <v>0</v>
      </c>
      <c r="DP85" s="169">
        <f t="shared" si="13"/>
        <v>0</v>
      </c>
      <c r="DQ85" s="169">
        <f t="shared" si="13"/>
        <v>0</v>
      </c>
      <c r="DR85" s="169">
        <f t="shared" si="13"/>
        <v>0</v>
      </c>
      <c r="DS85" s="169">
        <f t="shared" si="13"/>
        <v>0</v>
      </c>
      <c r="DT85" s="169">
        <f t="shared" si="13"/>
        <v>0</v>
      </c>
      <c r="DU85" s="169">
        <f t="shared" si="13"/>
        <v>0</v>
      </c>
      <c r="DV85" s="169">
        <f t="shared" si="13"/>
        <v>0</v>
      </c>
      <c r="DW85" s="169">
        <f t="shared" si="13"/>
        <v>0</v>
      </c>
      <c r="DX85" s="169">
        <f t="shared" si="13"/>
        <v>0</v>
      </c>
      <c r="DY85" s="169">
        <f t="shared" si="13"/>
        <v>0</v>
      </c>
      <c r="DZ85" s="169">
        <f t="shared" si="13"/>
        <v>0</v>
      </c>
      <c r="EA85" s="169">
        <f t="shared" si="13"/>
        <v>0</v>
      </c>
      <c r="EB85" s="169">
        <f t="shared" si="13"/>
        <v>0</v>
      </c>
    </row>
    <row r="86" spans="1:132" x14ac:dyDescent="0.25">
      <c r="B86" s="14" t="s">
        <v>1213</v>
      </c>
      <c r="C86" s="169">
        <f>'Calcul éco'!$V$228</f>
        <v>17.600000000000001</v>
      </c>
      <c r="D86" s="255">
        <f t="shared" ref="D86:D97" si="14">ROUND(C86*$D$82/$C$82,3)</f>
        <v>0</v>
      </c>
      <c r="AT86" s="185" t="s">
        <v>790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790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790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1214</v>
      </c>
      <c r="C87" s="169">
        <f>'Calcul éco'!$W$228</f>
        <v>4</v>
      </c>
      <c r="D87" s="255">
        <f t="shared" si="14"/>
        <v>0</v>
      </c>
      <c r="AT87" s="183" t="str">
        <f>CdTrp1!A15</f>
        <v>Vaches suitées au pâturage</v>
      </c>
      <c r="AU87" s="186" t="str">
        <f>Scénario!K96</f>
        <v>fort</v>
      </c>
      <c r="AV87" s="169">
        <f t="shared" ref="AV87:BK96" si="15">IF($AU87="fort",2,IF($AU87="faible",1,0))</f>
        <v>2</v>
      </c>
      <c r="AW87" s="169">
        <f t="shared" si="15"/>
        <v>2</v>
      </c>
      <c r="AX87" s="169">
        <f t="shared" si="15"/>
        <v>2</v>
      </c>
      <c r="AY87" s="169">
        <f t="shared" si="15"/>
        <v>2</v>
      </c>
      <c r="AZ87" s="169">
        <f t="shared" si="15"/>
        <v>2</v>
      </c>
      <c r="BA87" s="169">
        <f t="shared" si="15"/>
        <v>2</v>
      </c>
      <c r="BB87" s="169">
        <f t="shared" si="15"/>
        <v>2</v>
      </c>
      <c r="BC87" s="169">
        <f t="shared" si="15"/>
        <v>2</v>
      </c>
      <c r="BD87" s="169">
        <f t="shared" si="15"/>
        <v>2</v>
      </c>
      <c r="BE87" s="169">
        <f t="shared" si="15"/>
        <v>2</v>
      </c>
      <c r="BF87" s="169">
        <f t="shared" si="15"/>
        <v>2</v>
      </c>
      <c r="BG87" s="169">
        <f t="shared" si="15"/>
        <v>2</v>
      </c>
      <c r="BH87" s="169">
        <f t="shared" si="15"/>
        <v>2</v>
      </c>
      <c r="BI87" s="169">
        <f t="shared" si="15"/>
        <v>2</v>
      </c>
      <c r="BJ87" s="169">
        <f t="shared" si="15"/>
        <v>2</v>
      </c>
      <c r="BK87" s="169">
        <f t="shared" si="15"/>
        <v>2</v>
      </c>
      <c r="BL87" s="169">
        <f t="shared" ref="BL87:BS96" si="16">IF($AU87="fort",2,IF($AU87="faible",1,0))</f>
        <v>2</v>
      </c>
      <c r="BM87" s="169">
        <f t="shared" si="16"/>
        <v>2</v>
      </c>
      <c r="BN87" s="169">
        <f t="shared" si="16"/>
        <v>2</v>
      </c>
      <c r="BO87" s="169">
        <f t="shared" si="16"/>
        <v>2</v>
      </c>
      <c r="BP87" s="169">
        <f t="shared" si="16"/>
        <v>2</v>
      </c>
      <c r="BQ87" s="169">
        <f t="shared" si="16"/>
        <v>2</v>
      </c>
      <c r="BR87" s="169">
        <f t="shared" si="16"/>
        <v>2</v>
      </c>
      <c r="BS87" s="169">
        <f t="shared" si="16"/>
        <v>2</v>
      </c>
      <c r="BV87" t="s">
        <v>791</v>
      </c>
      <c r="BZ87" s="183" t="str">
        <f t="shared" ref="BZ87:BZ96" si="17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18">IF($CA87="fort",2,IF($AU87="faible",1,0))</f>
        <v>0</v>
      </c>
      <c r="CD87" s="169">
        <f t="shared" si="18"/>
        <v>0</v>
      </c>
      <c r="CE87" s="169">
        <f t="shared" si="18"/>
        <v>0</v>
      </c>
      <c r="CF87" s="169">
        <f t="shared" si="18"/>
        <v>0</v>
      </c>
      <c r="CG87" s="169">
        <f t="shared" si="18"/>
        <v>0</v>
      </c>
      <c r="CH87" s="169">
        <f t="shared" si="18"/>
        <v>0</v>
      </c>
      <c r="CI87" s="169">
        <f t="shared" si="18"/>
        <v>0</v>
      </c>
      <c r="CJ87" s="169">
        <f t="shared" si="18"/>
        <v>0</v>
      </c>
      <c r="CK87" s="169">
        <f t="shared" si="18"/>
        <v>0</v>
      </c>
      <c r="CL87" s="169">
        <f t="shared" si="18"/>
        <v>0</v>
      </c>
      <c r="CM87" s="169">
        <f t="shared" si="18"/>
        <v>0</v>
      </c>
      <c r="CN87" s="169">
        <f t="shared" si="18"/>
        <v>0</v>
      </c>
      <c r="CO87" s="169">
        <f t="shared" si="18"/>
        <v>0</v>
      </c>
      <c r="CP87" s="169">
        <f t="shared" si="18"/>
        <v>0</v>
      </c>
      <c r="CQ87" s="169">
        <f t="shared" si="18"/>
        <v>0</v>
      </c>
      <c r="CR87" s="169">
        <f t="shared" si="18"/>
        <v>0</v>
      </c>
      <c r="CS87" s="169">
        <f t="shared" si="18"/>
        <v>0</v>
      </c>
      <c r="CT87" s="169">
        <f t="shared" si="18"/>
        <v>0</v>
      </c>
      <c r="CU87" s="169">
        <f t="shared" si="18"/>
        <v>0</v>
      </c>
      <c r="CV87" s="169">
        <f t="shared" si="18"/>
        <v>0</v>
      </c>
      <c r="CW87" s="169">
        <f t="shared" si="18"/>
        <v>0</v>
      </c>
      <c r="CX87" s="169">
        <f t="shared" si="18"/>
        <v>0</v>
      </c>
      <c r="CY87" s="169">
        <f t="shared" si="18"/>
        <v>0</v>
      </c>
      <c r="DC87" s="183" t="str">
        <f t="shared" ref="DC87:DC96" si="19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0">IF($DD87="fort",2,IF($DD87="faible",1,0))</f>
        <v>0</v>
      </c>
      <c r="DG87" s="169">
        <f t="shared" si="20"/>
        <v>0</v>
      </c>
      <c r="DH87" s="169">
        <f t="shared" si="20"/>
        <v>0</v>
      </c>
      <c r="DI87" s="169">
        <f t="shared" si="20"/>
        <v>0</v>
      </c>
      <c r="DJ87" s="169">
        <f t="shared" si="20"/>
        <v>0</v>
      </c>
      <c r="DK87" s="169">
        <f t="shared" si="20"/>
        <v>0</v>
      </c>
      <c r="DL87" s="169">
        <f t="shared" si="20"/>
        <v>0</v>
      </c>
      <c r="DM87" s="169">
        <f t="shared" si="20"/>
        <v>0</v>
      </c>
      <c r="DN87" s="169">
        <f t="shared" si="20"/>
        <v>0</v>
      </c>
      <c r="DO87" s="169">
        <f t="shared" si="20"/>
        <v>0</v>
      </c>
      <c r="DP87" s="169">
        <f t="shared" si="20"/>
        <v>0</v>
      </c>
      <c r="DQ87" s="169">
        <f t="shared" si="20"/>
        <v>0</v>
      </c>
      <c r="DR87" s="169">
        <f t="shared" si="20"/>
        <v>0</v>
      </c>
      <c r="DS87" s="169">
        <f t="shared" si="20"/>
        <v>0</v>
      </c>
      <c r="DT87" s="169">
        <f t="shared" si="20"/>
        <v>0</v>
      </c>
      <c r="DU87" s="169">
        <f t="shared" si="20"/>
        <v>0</v>
      </c>
      <c r="DV87" s="169">
        <f t="shared" si="20"/>
        <v>0</v>
      </c>
      <c r="DW87" s="169">
        <f t="shared" si="20"/>
        <v>0</v>
      </c>
      <c r="DX87" s="169">
        <f t="shared" si="20"/>
        <v>0</v>
      </c>
      <c r="DY87" s="169">
        <f t="shared" si="20"/>
        <v>0</v>
      </c>
      <c r="DZ87" s="169">
        <f t="shared" si="20"/>
        <v>0</v>
      </c>
      <c r="EA87" s="169">
        <f t="shared" si="20"/>
        <v>0</v>
      </c>
      <c r="EB87" s="169">
        <f t="shared" si="20"/>
        <v>0</v>
      </c>
    </row>
    <row r="88" spans="1:132" x14ac:dyDescent="0.25">
      <c r="B88" s="14" t="s">
        <v>562</v>
      </c>
      <c r="C88" s="169">
        <f>Scénario!K43</f>
        <v>3.52</v>
      </c>
      <c r="D88" s="255">
        <f t="shared" si="14"/>
        <v>0</v>
      </c>
      <c r="AT88" s="183" t="str">
        <f>CdTrp1!A16</f>
        <v xml:space="preserve">Vaches lot principal </v>
      </c>
      <c r="AU88" s="186" t="str">
        <f>Scénario!K97</f>
        <v>fort</v>
      </c>
      <c r="AV88" s="169">
        <f t="shared" si="15"/>
        <v>2</v>
      </c>
      <c r="AW88" s="169">
        <f t="shared" si="15"/>
        <v>2</v>
      </c>
      <c r="AX88" s="169">
        <f t="shared" si="15"/>
        <v>2</v>
      </c>
      <c r="AY88" s="169">
        <f t="shared" si="15"/>
        <v>2</v>
      </c>
      <c r="AZ88" s="169">
        <f t="shared" si="15"/>
        <v>2</v>
      </c>
      <c r="BA88" s="169">
        <f t="shared" si="15"/>
        <v>2</v>
      </c>
      <c r="BB88" s="169">
        <f t="shared" si="15"/>
        <v>2</v>
      </c>
      <c r="BC88" s="169">
        <f t="shared" si="15"/>
        <v>2</v>
      </c>
      <c r="BD88" s="169">
        <f t="shared" si="15"/>
        <v>2</v>
      </c>
      <c r="BE88" s="169">
        <f t="shared" si="15"/>
        <v>2</v>
      </c>
      <c r="BF88" s="169">
        <f t="shared" si="15"/>
        <v>2</v>
      </c>
      <c r="BG88" s="169">
        <f t="shared" si="15"/>
        <v>2</v>
      </c>
      <c r="BH88" s="169">
        <f t="shared" si="15"/>
        <v>2</v>
      </c>
      <c r="BI88" s="169">
        <f t="shared" si="15"/>
        <v>2</v>
      </c>
      <c r="BJ88" s="169">
        <f t="shared" si="15"/>
        <v>2</v>
      </c>
      <c r="BK88" s="169">
        <f t="shared" si="15"/>
        <v>2</v>
      </c>
      <c r="BL88" s="169">
        <f t="shared" si="16"/>
        <v>2</v>
      </c>
      <c r="BM88" s="169">
        <f t="shared" si="16"/>
        <v>2</v>
      </c>
      <c r="BN88" s="169">
        <f t="shared" si="16"/>
        <v>2</v>
      </c>
      <c r="BO88" s="169">
        <f t="shared" si="16"/>
        <v>2</v>
      </c>
      <c r="BP88" s="169">
        <f t="shared" si="16"/>
        <v>2</v>
      </c>
      <c r="BQ88" s="169">
        <f t="shared" si="16"/>
        <v>2</v>
      </c>
      <c r="BR88" s="169">
        <f t="shared" si="16"/>
        <v>2</v>
      </c>
      <c r="BS88" s="169">
        <f t="shared" si="16"/>
        <v>2</v>
      </c>
      <c r="BU88">
        <v>2</v>
      </c>
      <c r="BV88" t="s">
        <v>637</v>
      </c>
      <c r="BZ88" s="183" t="str">
        <f t="shared" si="17"/>
        <v>lot2</v>
      </c>
      <c r="CA88" s="186">
        <f>Scénario!K107</f>
        <v>0</v>
      </c>
      <c r="CB88" s="169">
        <f t="shared" ref="CB88:CB96" si="21">IF($CA88="fort",2,IF($AU88="faible",1,0))</f>
        <v>0</v>
      </c>
      <c r="CC88" s="169">
        <f t="shared" si="18"/>
        <v>0</v>
      </c>
      <c r="CD88" s="169">
        <f t="shared" si="18"/>
        <v>0</v>
      </c>
      <c r="CE88" s="169">
        <f t="shared" si="18"/>
        <v>0</v>
      </c>
      <c r="CF88" s="169">
        <f t="shared" si="18"/>
        <v>0</v>
      </c>
      <c r="CG88" s="169">
        <f t="shared" si="18"/>
        <v>0</v>
      </c>
      <c r="CH88" s="169">
        <f t="shared" si="18"/>
        <v>0</v>
      </c>
      <c r="CI88" s="169">
        <f t="shared" si="18"/>
        <v>0</v>
      </c>
      <c r="CJ88" s="169">
        <f t="shared" si="18"/>
        <v>0</v>
      </c>
      <c r="CK88" s="169">
        <f t="shared" si="18"/>
        <v>0</v>
      </c>
      <c r="CL88" s="169">
        <f t="shared" si="18"/>
        <v>0</v>
      </c>
      <c r="CM88" s="169">
        <f t="shared" si="18"/>
        <v>0</v>
      </c>
      <c r="CN88" s="169">
        <f t="shared" si="18"/>
        <v>0</v>
      </c>
      <c r="CO88" s="169">
        <f t="shared" si="18"/>
        <v>0</v>
      </c>
      <c r="CP88" s="169">
        <f t="shared" si="18"/>
        <v>0</v>
      </c>
      <c r="CQ88" s="169">
        <f t="shared" si="18"/>
        <v>0</v>
      </c>
      <c r="CR88" s="169">
        <f t="shared" si="18"/>
        <v>0</v>
      </c>
      <c r="CS88" s="169">
        <f t="shared" si="18"/>
        <v>0</v>
      </c>
      <c r="CT88" s="169">
        <f t="shared" si="18"/>
        <v>0</v>
      </c>
      <c r="CU88" s="169">
        <f t="shared" si="18"/>
        <v>0</v>
      </c>
      <c r="CV88" s="169">
        <f t="shared" si="18"/>
        <v>0</v>
      </c>
      <c r="CW88" s="169">
        <f t="shared" si="18"/>
        <v>0</v>
      </c>
      <c r="CX88" s="169">
        <f t="shared" si="18"/>
        <v>0</v>
      </c>
      <c r="CY88" s="169">
        <f t="shared" si="18"/>
        <v>0</v>
      </c>
      <c r="DC88" s="183" t="str">
        <f t="shared" si="19"/>
        <v>lot2</v>
      </c>
      <c r="DD88" s="186">
        <f>Scénario!K117</f>
        <v>0</v>
      </c>
      <c r="DE88" s="169">
        <f t="shared" ref="DE88:DE96" si="22">IF($DD88="fort",2,IF($DD88="faible",1,0))</f>
        <v>0</v>
      </c>
      <c r="DF88" s="169">
        <f t="shared" si="20"/>
        <v>0</v>
      </c>
      <c r="DG88" s="169">
        <f t="shared" si="20"/>
        <v>0</v>
      </c>
      <c r="DH88" s="169">
        <f t="shared" si="20"/>
        <v>0</v>
      </c>
      <c r="DI88" s="169">
        <f t="shared" si="20"/>
        <v>0</v>
      </c>
      <c r="DJ88" s="169">
        <f t="shared" si="20"/>
        <v>0</v>
      </c>
      <c r="DK88" s="169">
        <f t="shared" si="20"/>
        <v>0</v>
      </c>
      <c r="DL88" s="169">
        <f t="shared" si="20"/>
        <v>0</v>
      </c>
      <c r="DM88" s="169">
        <f t="shared" si="20"/>
        <v>0</v>
      </c>
      <c r="DN88" s="169">
        <f t="shared" si="20"/>
        <v>0</v>
      </c>
      <c r="DO88" s="169">
        <f t="shared" si="20"/>
        <v>0</v>
      </c>
      <c r="DP88" s="169">
        <f t="shared" si="20"/>
        <v>0</v>
      </c>
      <c r="DQ88" s="169">
        <f t="shared" si="20"/>
        <v>0</v>
      </c>
      <c r="DR88" s="169">
        <f t="shared" si="20"/>
        <v>0</v>
      </c>
      <c r="DS88" s="169">
        <f t="shared" si="20"/>
        <v>0</v>
      </c>
      <c r="DT88" s="169">
        <f t="shared" si="20"/>
        <v>0</v>
      </c>
      <c r="DU88" s="169">
        <f t="shared" si="20"/>
        <v>0</v>
      </c>
      <c r="DV88" s="169">
        <f t="shared" si="20"/>
        <v>0</v>
      </c>
      <c r="DW88" s="169">
        <f t="shared" si="20"/>
        <v>0</v>
      </c>
      <c r="DX88" s="169">
        <f t="shared" si="20"/>
        <v>0</v>
      </c>
      <c r="DY88" s="169">
        <f t="shared" si="20"/>
        <v>0</v>
      </c>
      <c r="DZ88" s="169">
        <f t="shared" si="20"/>
        <v>0</v>
      </c>
      <c r="EA88" s="169">
        <f t="shared" si="20"/>
        <v>0</v>
      </c>
      <c r="EB88" s="169">
        <f t="shared" si="20"/>
        <v>0</v>
      </c>
    </row>
    <row r="89" spans="1:132" x14ac:dyDescent="0.25">
      <c r="B89" s="14" t="s">
        <v>551</v>
      </c>
      <c r="C89" s="169">
        <f>Scénario!K32</f>
        <v>9.6999999999999993</v>
      </c>
      <c r="D89" s="255">
        <f t="shared" si="14"/>
        <v>0</v>
      </c>
      <c r="AT89" s="183" t="str">
        <f>CdTrp1!A17</f>
        <v>Génisses renouvellement</v>
      </c>
      <c r="AU89" s="186" t="str">
        <f>Scénario!K98</f>
        <v>faible</v>
      </c>
      <c r="AV89" s="169">
        <f t="shared" si="15"/>
        <v>1</v>
      </c>
      <c r="AW89" s="169">
        <f t="shared" si="15"/>
        <v>1</v>
      </c>
      <c r="AX89" s="169">
        <f t="shared" si="15"/>
        <v>1</v>
      </c>
      <c r="AY89" s="169">
        <f t="shared" si="15"/>
        <v>1</v>
      </c>
      <c r="AZ89" s="169">
        <f t="shared" si="15"/>
        <v>1</v>
      </c>
      <c r="BA89" s="169">
        <f t="shared" si="15"/>
        <v>1</v>
      </c>
      <c r="BB89" s="169">
        <f t="shared" si="15"/>
        <v>1</v>
      </c>
      <c r="BC89" s="169">
        <f t="shared" si="15"/>
        <v>1</v>
      </c>
      <c r="BD89" s="169">
        <f t="shared" si="15"/>
        <v>1</v>
      </c>
      <c r="BE89" s="169">
        <f t="shared" si="15"/>
        <v>1</v>
      </c>
      <c r="BF89" s="169">
        <f t="shared" si="15"/>
        <v>1</v>
      </c>
      <c r="BG89" s="169">
        <f t="shared" si="15"/>
        <v>1</v>
      </c>
      <c r="BH89" s="169">
        <f t="shared" si="15"/>
        <v>1</v>
      </c>
      <c r="BI89" s="169">
        <f t="shared" si="15"/>
        <v>1</v>
      </c>
      <c r="BJ89" s="169">
        <f t="shared" si="15"/>
        <v>1</v>
      </c>
      <c r="BK89" s="169">
        <f t="shared" si="15"/>
        <v>1</v>
      </c>
      <c r="BL89" s="169">
        <f t="shared" si="16"/>
        <v>1</v>
      </c>
      <c r="BM89" s="169">
        <f t="shared" si="16"/>
        <v>1</v>
      </c>
      <c r="BN89" s="169">
        <f t="shared" si="16"/>
        <v>1</v>
      </c>
      <c r="BO89" s="169">
        <f t="shared" si="16"/>
        <v>1</v>
      </c>
      <c r="BP89" s="169">
        <f t="shared" si="16"/>
        <v>1</v>
      </c>
      <c r="BQ89" s="169">
        <f t="shared" si="16"/>
        <v>1</v>
      </c>
      <c r="BR89" s="169">
        <f t="shared" si="16"/>
        <v>1</v>
      </c>
      <c r="BS89" s="169">
        <f t="shared" si="16"/>
        <v>1</v>
      </c>
      <c r="BU89">
        <v>1</v>
      </c>
      <c r="BV89" t="s">
        <v>638</v>
      </c>
      <c r="BZ89" s="183" t="str">
        <f t="shared" si="17"/>
        <v>lot3</v>
      </c>
      <c r="CA89" s="186">
        <f>Scénario!K108</f>
        <v>0</v>
      </c>
      <c r="CB89" s="169">
        <f t="shared" si="21"/>
        <v>1</v>
      </c>
      <c r="CC89" s="169">
        <f t="shared" si="18"/>
        <v>1</v>
      </c>
      <c r="CD89" s="169">
        <f t="shared" si="18"/>
        <v>1</v>
      </c>
      <c r="CE89" s="169">
        <f t="shared" si="18"/>
        <v>1</v>
      </c>
      <c r="CF89" s="169">
        <f t="shared" si="18"/>
        <v>1</v>
      </c>
      <c r="CG89" s="169">
        <f t="shared" si="18"/>
        <v>1</v>
      </c>
      <c r="CH89" s="169">
        <f t="shared" si="18"/>
        <v>1</v>
      </c>
      <c r="CI89" s="169">
        <f t="shared" si="18"/>
        <v>1</v>
      </c>
      <c r="CJ89" s="169">
        <f t="shared" si="18"/>
        <v>1</v>
      </c>
      <c r="CK89" s="169">
        <f t="shared" si="18"/>
        <v>1</v>
      </c>
      <c r="CL89" s="169">
        <f t="shared" si="18"/>
        <v>1</v>
      </c>
      <c r="CM89" s="169">
        <f t="shared" si="18"/>
        <v>1</v>
      </c>
      <c r="CN89" s="169">
        <f t="shared" si="18"/>
        <v>1</v>
      </c>
      <c r="CO89" s="169">
        <f t="shared" si="18"/>
        <v>1</v>
      </c>
      <c r="CP89" s="169">
        <f t="shared" si="18"/>
        <v>1</v>
      </c>
      <c r="CQ89" s="169">
        <f t="shared" si="18"/>
        <v>1</v>
      </c>
      <c r="CR89" s="169">
        <f t="shared" si="18"/>
        <v>1</v>
      </c>
      <c r="CS89" s="169">
        <f t="shared" si="18"/>
        <v>1</v>
      </c>
      <c r="CT89" s="169">
        <f t="shared" si="18"/>
        <v>1</v>
      </c>
      <c r="CU89" s="169">
        <f t="shared" si="18"/>
        <v>1</v>
      </c>
      <c r="CV89" s="169">
        <f t="shared" si="18"/>
        <v>1</v>
      </c>
      <c r="CW89" s="169">
        <f t="shared" si="18"/>
        <v>1</v>
      </c>
      <c r="CX89" s="169">
        <f t="shared" si="18"/>
        <v>1</v>
      </c>
      <c r="CY89" s="169">
        <f t="shared" si="18"/>
        <v>1</v>
      </c>
      <c r="DC89" s="183" t="str">
        <f t="shared" si="19"/>
        <v>lot3</v>
      </c>
      <c r="DD89" s="186">
        <f>Scénario!K118</f>
        <v>0</v>
      </c>
      <c r="DE89" s="169">
        <f t="shared" si="22"/>
        <v>0</v>
      </c>
      <c r="DF89" s="169">
        <f t="shared" si="20"/>
        <v>0</v>
      </c>
      <c r="DG89" s="169">
        <f t="shared" si="20"/>
        <v>0</v>
      </c>
      <c r="DH89" s="169">
        <f t="shared" si="20"/>
        <v>0</v>
      </c>
      <c r="DI89" s="169">
        <f t="shared" si="20"/>
        <v>0</v>
      </c>
      <c r="DJ89" s="169">
        <f t="shared" si="20"/>
        <v>0</v>
      </c>
      <c r="DK89" s="169">
        <f t="shared" si="20"/>
        <v>0</v>
      </c>
      <c r="DL89" s="169">
        <f t="shared" si="20"/>
        <v>0</v>
      </c>
      <c r="DM89" s="169">
        <f t="shared" si="20"/>
        <v>0</v>
      </c>
      <c r="DN89" s="169">
        <f t="shared" si="20"/>
        <v>0</v>
      </c>
      <c r="DO89" s="169">
        <f t="shared" si="20"/>
        <v>0</v>
      </c>
      <c r="DP89" s="169">
        <f t="shared" si="20"/>
        <v>0</v>
      </c>
      <c r="DQ89" s="169">
        <f t="shared" si="20"/>
        <v>0</v>
      </c>
      <c r="DR89" s="169">
        <f t="shared" si="20"/>
        <v>0</v>
      </c>
      <c r="DS89" s="169">
        <f t="shared" si="20"/>
        <v>0</v>
      </c>
      <c r="DT89" s="169">
        <f t="shared" si="20"/>
        <v>0</v>
      </c>
      <c r="DU89" s="169">
        <f t="shared" si="20"/>
        <v>0</v>
      </c>
      <c r="DV89" s="169">
        <f t="shared" si="20"/>
        <v>0</v>
      </c>
      <c r="DW89" s="169">
        <f t="shared" si="20"/>
        <v>0</v>
      </c>
      <c r="DX89" s="169">
        <f t="shared" si="20"/>
        <v>0</v>
      </c>
      <c r="DY89" s="169">
        <f t="shared" si="20"/>
        <v>0</v>
      </c>
      <c r="DZ89" s="169">
        <f t="shared" si="20"/>
        <v>0</v>
      </c>
      <c r="EA89" s="169">
        <f t="shared" si="20"/>
        <v>0</v>
      </c>
      <c r="EB89" s="169">
        <f t="shared" si="20"/>
        <v>0</v>
      </c>
    </row>
    <row r="90" spans="1:132" x14ac:dyDescent="0.25">
      <c r="A90" s="2" t="s">
        <v>1215</v>
      </c>
      <c r="B90" s="14" t="s">
        <v>306</v>
      </c>
      <c r="C90" s="169">
        <f>Scénario!K34</f>
        <v>2.1</v>
      </c>
      <c r="D90" s="255">
        <f t="shared" si="14"/>
        <v>0</v>
      </c>
      <c r="G90" s="85" t="s">
        <v>1216</v>
      </c>
      <c r="AT90" s="183" t="str">
        <f>CdTrp1!A18</f>
        <v>génisses 2/3 ans</v>
      </c>
      <c r="AU90" s="186" t="str">
        <f>Scénario!K99</f>
        <v>faible</v>
      </c>
      <c r="AV90" s="169">
        <f t="shared" si="15"/>
        <v>1</v>
      </c>
      <c r="AW90" s="169">
        <f t="shared" si="15"/>
        <v>1</v>
      </c>
      <c r="AX90" s="169">
        <f t="shared" si="15"/>
        <v>1</v>
      </c>
      <c r="AY90" s="169">
        <f t="shared" si="15"/>
        <v>1</v>
      </c>
      <c r="AZ90" s="169">
        <f t="shared" si="15"/>
        <v>1</v>
      </c>
      <c r="BA90" s="169">
        <f t="shared" si="15"/>
        <v>1</v>
      </c>
      <c r="BB90" s="169">
        <f t="shared" si="15"/>
        <v>1</v>
      </c>
      <c r="BC90" s="169">
        <f t="shared" si="15"/>
        <v>1</v>
      </c>
      <c r="BD90" s="169">
        <f t="shared" si="15"/>
        <v>1</v>
      </c>
      <c r="BE90" s="169">
        <f t="shared" si="15"/>
        <v>1</v>
      </c>
      <c r="BF90" s="169">
        <f t="shared" si="15"/>
        <v>1</v>
      </c>
      <c r="BG90" s="169">
        <f t="shared" si="15"/>
        <v>1</v>
      </c>
      <c r="BH90" s="169">
        <f t="shared" si="15"/>
        <v>1</v>
      </c>
      <c r="BI90" s="169">
        <f t="shared" si="15"/>
        <v>1</v>
      </c>
      <c r="BJ90" s="169">
        <f t="shared" si="15"/>
        <v>1</v>
      </c>
      <c r="BK90" s="169">
        <f t="shared" si="15"/>
        <v>1</v>
      </c>
      <c r="BL90" s="169">
        <f t="shared" si="16"/>
        <v>1</v>
      </c>
      <c r="BM90" s="169">
        <f t="shared" si="16"/>
        <v>1</v>
      </c>
      <c r="BN90" s="169">
        <f t="shared" si="16"/>
        <v>1</v>
      </c>
      <c r="BO90" s="169">
        <f t="shared" si="16"/>
        <v>1</v>
      </c>
      <c r="BP90" s="169">
        <f t="shared" si="16"/>
        <v>1</v>
      </c>
      <c r="BQ90" s="169">
        <f t="shared" si="16"/>
        <v>1</v>
      </c>
      <c r="BR90" s="169">
        <f t="shared" si="16"/>
        <v>1</v>
      </c>
      <c r="BS90" s="169">
        <f t="shared" si="16"/>
        <v>1</v>
      </c>
      <c r="BZ90" s="183" t="str">
        <f t="shared" si="17"/>
        <v>lot4</v>
      </c>
      <c r="CA90" s="186">
        <f>Scénario!K109</f>
        <v>0</v>
      </c>
      <c r="CB90" s="169">
        <f t="shared" si="21"/>
        <v>1</v>
      </c>
      <c r="CC90" s="169">
        <f t="shared" si="18"/>
        <v>1</v>
      </c>
      <c r="CD90" s="169">
        <f t="shared" si="18"/>
        <v>1</v>
      </c>
      <c r="CE90" s="169">
        <f t="shared" si="18"/>
        <v>1</v>
      </c>
      <c r="CF90" s="169">
        <f t="shared" si="18"/>
        <v>1</v>
      </c>
      <c r="CG90" s="169">
        <f t="shared" si="18"/>
        <v>1</v>
      </c>
      <c r="CH90" s="169">
        <f t="shared" si="18"/>
        <v>1</v>
      </c>
      <c r="CI90" s="169">
        <f t="shared" si="18"/>
        <v>1</v>
      </c>
      <c r="CJ90" s="169">
        <f t="shared" si="18"/>
        <v>1</v>
      </c>
      <c r="CK90" s="169">
        <f t="shared" si="18"/>
        <v>1</v>
      </c>
      <c r="CL90" s="169">
        <f t="shared" si="18"/>
        <v>1</v>
      </c>
      <c r="CM90" s="169">
        <f t="shared" si="18"/>
        <v>1</v>
      </c>
      <c r="CN90" s="169">
        <f t="shared" si="18"/>
        <v>1</v>
      </c>
      <c r="CO90" s="169">
        <f t="shared" si="18"/>
        <v>1</v>
      </c>
      <c r="CP90" s="169">
        <f t="shared" si="18"/>
        <v>1</v>
      </c>
      <c r="CQ90" s="169">
        <f t="shared" si="18"/>
        <v>1</v>
      </c>
      <c r="CR90" s="169">
        <f t="shared" si="18"/>
        <v>1</v>
      </c>
      <c r="CS90" s="169">
        <f t="shared" si="18"/>
        <v>1</v>
      </c>
      <c r="CT90" s="169">
        <f t="shared" si="18"/>
        <v>1</v>
      </c>
      <c r="CU90" s="169">
        <f t="shared" si="18"/>
        <v>1</v>
      </c>
      <c r="CV90" s="169">
        <f t="shared" si="18"/>
        <v>1</v>
      </c>
      <c r="CW90" s="169">
        <f t="shared" si="18"/>
        <v>1</v>
      </c>
      <c r="CX90" s="169">
        <f t="shared" si="18"/>
        <v>1</v>
      </c>
      <c r="CY90" s="169">
        <f t="shared" si="18"/>
        <v>1</v>
      </c>
      <c r="DC90" s="183" t="str">
        <f t="shared" si="19"/>
        <v>lot4</v>
      </c>
      <c r="DD90" s="186">
        <f>Scénario!K119</f>
        <v>0</v>
      </c>
      <c r="DE90" s="169">
        <f t="shared" si="22"/>
        <v>0</v>
      </c>
      <c r="DF90" s="169">
        <f t="shared" si="20"/>
        <v>0</v>
      </c>
      <c r="DG90" s="169">
        <f t="shared" si="20"/>
        <v>0</v>
      </c>
      <c r="DH90" s="169">
        <f t="shared" si="20"/>
        <v>0</v>
      </c>
      <c r="DI90" s="169">
        <f t="shared" si="20"/>
        <v>0</v>
      </c>
      <c r="DJ90" s="169">
        <f t="shared" si="20"/>
        <v>0</v>
      </c>
      <c r="DK90" s="169">
        <f t="shared" si="20"/>
        <v>0</v>
      </c>
      <c r="DL90" s="169">
        <f t="shared" si="20"/>
        <v>0</v>
      </c>
      <c r="DM90" s="169">
        <f t="shared" si="20"/>
        <v>0</v>
      </c>
      <c r="DN90" s="169">
        <f t="shared" si="20"/>
        <v>0</v>
      </c>
      <c r="DO90" s="169">
        <f t="shared" si="20"/>
        <v>0</v>
      </c>
      <c r="DP90" s="169">
        <f t="shared" si="20"/>
        <v>0</v>
      </c>
      <c r="DQ90" s="169">
        <f t="shared" si="20"/>
        <v>0</v>
      </c>
      <c r="DR90" s="169">
        <f t="shared" si="20"/>
        <v>0</v>
      </c>
      <c r="DS90" s="169">
        <f t="shared" si="20"/>
        <v>0</v>
      </c>
      <c r="DT90" s="169">
        <f t="shared" si="20"/>
        <v>0</v>
      </c>
      <c r="DU90" s="169">
        <f t="shared" si="20"/>
        <v>0</v>
      </c>
      <c r="DV90" s="169">
        <f t="shared" si="20"/>
        <v>0</v>
      </c>
      <c r="DW90" s="169">
        <f t="shared" si="20"/>
        <v>0</v>
      </c>
      <c r="DX90" s="169">
        <f t="shared" si="20"/>
        <v>0</v>
      </c>
      <c r="DY90" s="169">
        <f t="shared" si="20"/>
        <v>0</v>
      </c>
      <c r="DZ90" s="169">
        <f t="shared" si="20"/>
        <v>0</v>
      </c>
      <c r="EA90" s="169">
        <f t="shared" si="20"/>
        <v>0</v>
      </c>
      <c r="EB90" s="169">
        <f t="shared" si="20"/>
        <v>0</v>
      </c>
    </row>
    <row r="91" spans="1:132" x14ac:dyDescent="0.25">
      <c r="B91" s="14" t="s">
        <v>554</v>
      </c>
      <c r="C91" s="169">
        <f>Scénario!K35</f>
        <v>0</v>
      </c>
      <c r="D91" s="255">
        <f t="shared" si="14"/>
        <v>0</v>
      </c>
      <c r="AT91" s="183" t="str">
        <f>CdTrp1!A19</f>
        <v>tardive</v>
      </c>
      <c r="AU91" s="186" t="str">
        <f>Scénario!K100</f>
        <v>faible</v>
      </c>
      <c r="AV91" s="169">
        <f t="shared" si="15"/>
        <v>1</v>
      </c>
      <c r="AW91" s="169">
        <f t="shared" si="15"/>
        <v>1</v>
      </c>
      <c r="AX91" s="169">
        <f t="shared" si="15"/>
        <v>1</v>
      </c>
      <c r="AY91" s="169">
        <f t="shared" si="15"/>
        <v>1</v>
      </c>
      <c r="AZ91" s="169">
        <f t="shared" si="15"/>
        <v>1</v>
      </c>
      <c r="BA91" s="169">
        <f t="shared" si="15"/>
        <v>1</v>
      </c>
      <c r="BB91" s="169">
        <f t="shared" si="15"/>
        <v>1</v>
      </c>
      <c r="BC91" s="169">
        <f t="shared" si="15"/>
        <v>1</v>
      </c>
      <c r="BD91" s="169">
        <f t="shared" si="15"/>
        <v>1</v>
      </c>
      <c r="BE91" s="169">
        <f t="shared" si="15"/>
        <v>1</v>
      </c>
      <c r="BF91" s="169">
        <f t="shared" si="15"/>
        <v>1</v>
      </c>
      <c r="BG91" s="169">
        <f t="shared" si="15"/>
        <v>1</v>
      </c>
      <c r="BH91" s="169">
        <f t="shared" si="15"/>
        <v>1</v>
      </c>
      <c r="BI91" s="169">
        <f t="shared" si="15"/>
        <v>1</v>
      </c>
      <c r="BJ91" s="169">
        <f t="shared" si="15"/>
        <v>1</v>
      </c>
      <c r="BK91" s="169">
        <f t="shared" si="15"/>
        <v>1</v>
      </c>
      <c r="BL91" s="169">
        <f t="shared" si="16"/>
        <v>1</v>
      </c>
      <c r="BM91" s="169">
        <f t="shared" si="16"/>
        <v>1</v>
      </c>
      <c r="BN91" s="169">
        <f t="shared" si="16"/>
        <v>1</v>
      </c>
      <c r="BO91" s="169">
        <f t="shared" si="16"/>
        <v>1</v>
      </c>
      <c r="BP91" s="169">
        <f t="shared" si="16"/>
        <v>1</v>
      </c>
      <c r="BQ91" s="169">
        <f t="shared" si="16"/>
        <v>1</v>
      </c>
      <c r="BR91" s="169">
        <f t="shared" si="16"/>
        <v>1</v>
      </c>
      <c r="BS91" s="169">
        <f t="shared" si="16"/>
        <v>1</v>
      </c>
      <c r="BZ91" s="183" t="str">
        <f t="shared" si="17"/>
        <v>lot5</v>
      </c>
      <c r="CA91" s="186">
        <f>Scénario!K110</f>
        <v>0</v>
      </c>
      <c r="CB91" s="169">
        <f t="shared" si="21"/>
        <v>1</v>
      </c>
      <c r="CC91" s="169">
        <f t="shared" si="18"/>
        <v>1</v>
      </c>
      <c r="CD91" s="169">
        <f t="shared" si="18"/>
        <v>1</v>
      </c>
      <c r="CE91" s="169">
        <f t="shared" si="18"/>
        <v>1</v>
      </c>
      <c r="CF91" s="169">
        <f t="shared" si="18"/>
        <v>1</v>
      </c>
      <c r="CG91" s="169">
        <f t="shared" si="18"/>
        <v>1</v>
      </c>
      <c r="CH91" s="169">
        <f t="shared" si="18"/>
        <v>1</v>
      </c>
      <c r="CI91" s="169">
        <f t="shared" si="18"/>
        <v>1</v>
      </c>
      <c r="CJ91" s="169">
        <f t="shared" si="18"/>
        <v>1</v>
      </c>
      <c r="CK91" s="169">
        <f t="shared" si="18"/>
        <v>1</v>
      </c>
      <c r="CL91" s="169">
        <f t="shared" si="18"/>
        <v>1</v>
      </c>
      <c r="CM91" s="169">
        <f t="shared" si="18"/>
        <v>1</v>
      </c>
      <c r="CN91" s="169">
        <f t="shared" si="18"/>
        <v>1</v>
      </c>
      <c r="CO91" s="169">
        <f t="shared" si="18"/>
        <v>1</v>
      </c>
      <c r="CP91" s="169">
        <f t="shared" si="18"/>
        <v>1</v>
      </c>
      <c r="CQ91" s="169">
        <f t="shared" si="18"/>
        <v>1</v>
      </c>
      <c r="CR91" s="169">
        <f t="shared" si="18"/>
        <v>1</v>
      </c>
      <c r="CS91" s="169">
        <f t="shared" si="18"/>
        <v>1</v>
      </c>
      <c r="CT91" s="169">
        <f t="shared" si="18"/>
        <v>1</v>
      </c>
      <c r="CU91" s="169">
        <f t="shared" si="18"/>
        <v>1</v>
      </c>
      <c r="CV91" s="169">
        <f t="shared" si="18"/>
        <v>1</v>
      </c>
      <c r="CW91" s="169">
        <f t="shared" si="18"/>
        <v>1</v>
      </c>
      <c r="CX91" s="169">
        <f t="shared" si="18"/>
        <v>1</v>
      </c>
      <c r="CY91" s="169">
        <f t="shared" si="18"/>
        <v>1</v>
      </c>
      <c r="DC91" s="183" t="str">
        <f t="shared" si="19"/>
        <v>lot5</v>
      </c>
      <c r="DD91" s="186">
        <f>Scénario!K120</f>
        <v>0</v>
      </c>
      <c r="DE91" s="169">
        <f t="shared" si="22"/>
        <v>0</v>
      </c>
      <c r="DF91" s="169">
        <f t="shared" si="20"/>
        <v>0</v>
      </c>
      <c r="DG91" s="169">
        <f t="shared" si="20"/>
        <v>0</v>
      </c>
      <c r="DH91" s="169">
        <f t="shared" si="20"/>
        <v>0</v>
      </c>
      <c r="DI91" s="169">
        <f t="shared" si="20"/>
        <v>0</v>
      </c>
      <c r="DJ91" s="169">
        <f t="shared" si="20"/>
        <v>0</v>
      </c>
      <c r="DK91" s="169">
        <f t="shared" si="20"/>
        <v>0</v>
      </c>
      <c r="DL91" s="169">
        <f t="shared" si="20"/>
        <v>0</v>
      </c>
      <c r="DM91" s="169">
        <f t="shared" si="20"/>
        <v>0</v>
      </c>
      <c r="DN91" s="169">
        <f t="shared" si="20"/>
        <v>0</v>
      </c>
      <c r="DO91" s="169">
        <f t="shared" si="20"/>
        <v>0</v>
      </c>
      <c r="DP91" s="169">
        <f t="shared" si="20"/>
        <v>0</v>
      </c>
      <c r="DQ91" s="169">
        <f t="shared" si="20"/>
        <v>0</v>
      </c>
      <c r="DR91" s="169">
        <f t="shared" si="20"/>
        <v>0</v>
      </c>
      <c r="DS91" s="169">
        <f t="shared" si="20"/>
        <v>0</v>
      </c>
      <c r="DT91" s="169">
        <f t="shared" si="20"/>
        <v>0</v>
      </c>
      <c r="DU91" s="169">
        <f t="shared" si="20"/>
        <v>0</v>
      </c>
      <c r="DV91" s="169">
        <f t="shared" si="20"/>
        <v>0</v>
      </c>
      <c r="DW91" s="169">
        <f t="shared" si="20"/>
        <v>0</v>
      </c>
      <c r="DX91" s="169">
        <f t="shared" si="20"/>
        <v>0</v>
      </c>
      <c r="DY91" s="169">
        <f t="shared" si="20"/>
        <v>0</v>
      </c>
      <c r="DZ91" s="169">
        <f t="shared" si="20"/>
        <v>0</v>
      </c>
      <c r="EA91" s="169">
        <f t="shared" si="20"/>
        <v>0</v>
      </c>
      <c r="EB91" s="169">
        <f t="shared" si="20"/>
        <v>0</v>
      </c>
    </row>
    <row r="92" spans="1:132" x14ac:dyDescent="0.25">
      <c r="B92" s="14" t="s">
        <v>555</v>
      </c>
      <c r="C92" s="169">
        <f>Scénario!K36</f>
        <v>0</v>
      </c>
      <c r="D92" s="255">
        <f t="shared" si="14"/>
        <v>0</v>
      </c>
      <c r="G92" s="2" t="s">
        <v>1217</v>
      </c>
      <c r="AT92" s="183" t="str">
        <f>CdTrp1!A20</f>
        <v>lot6</v>
      </c>
      <c r="AU92" s="186">
        <f>Scénario!K101</f>
        <v>0</v>
      </c>
      <c r="AV92" s="169">
        <f t="shared" si="15"/>
        <v>0</v>
      </c>
      <c r="AW92" s="169">
        <f t="shared" si="15"/>
        <v>0</v>
      </c>
      <c r="AX92" s="169">
        <f t="shared" si="15"/>
        <v>0</v>
      </c>
      <c r="AY92" s="169">
        <f t="shared" si="15"/>
        <v>0</v>
      </c>
      <c r="AZ92" s="169">
        <f t="shared" si="15"/>
        <v>0</v>
      </c>
      <c r="BA92" s="169">
        <f t="shared" si="15"/>
        <v>0</v>
      </c>
      <c r="BB92" s="169">
        <f t="shared" si="15"/>
        <v>0</v>
      </c>
      <c r="BC92" s="169">
        <f t="shared" si="15"/>
        <v>0</v>
      </c>
      <c r="BD92" s="169">
        <f t="shared" si="15"/>
        <v>0</v>
      </c>
      <c r="BE92" s="169">
        <f t="shared" si="15"/>
        <v>0</v>
      </c>
      <c r="BF92" s="169">
        <f t="shared" si="15"/>
        <v>0</v>
      </c>
      <c r="BG92" s="169">
        <f t="shared" si="15"/>
        <v>0</v>
      </c>
      <c r="BH92" s="169">
        <f t="shared" si="15"/>
        <v>0</v>
      </c>
      <c r="BI92" s="169">
        <f t="shared" si="15"/>
        <v>0</v>
      </c>
      <c r="BJ92" s="169">
        <f t="shared" si="15"/>
        <v>0</v>
      </c>
      <c r="BK92" s="169">
        <f t="shared" si="15"/>
        <v>0</v>
      </c>
      <c r="BL92" s="169">
        <f t="shared" si="16"/>
        <v>0</v>
      </c>
      <c r="BM92" s="169">
        <f t="shared" si="16"/>
        <v>0</v>
      </c>
      <c r="BN92" s="169">
        <f t="shared" si="16"/>
        <v>0</v>
      </c>
      <c r="BO92" s="169">
        <f t="shared" si="16"/>
        <v>0</v>
      </c>
      <c r="BP92" s="169">
        <f t="shared" si="16"/>
        <v>0</v>
      </c>
      <c r="BQ92" s="169">
        <f t="shared" si="16"/>
        <v>0</v>
      </c>
      <c r="BR92" s="169">
        <f t="shared" si="16"/>
        <v>0</v>
      </c>
      <c r="BS92" s="169">
        <f t="shared" si="16"/>
        <v>0</v>
      </c>
      <c r="BT92" s="5"/>
      <c r="BY92" s="5"/>
      <c r="BZ92" s="183" t="str">
        <f t="shared" si="17"/>
        <v>lot6</v>
      </c>
      <c r="CA92" s="186">
        <f>Scénario!K111</f>
        <v>0</v>
      </c>
      <c r="CB92" s="169">
        <f t="shared" si="21"/>
        <v>0</v>
      </c>
      <c r="CC92" s="169">
        <f t="shared" si="18"/>
        <v>0</v>
      </c>
      <c r="CD92" s="169">
        <f t="shared" si="18"/>
        <v>0</v>
      </c>
      <c r="CE92" s="169">
        <f t="shared" si="18"/>
        <v>0</v>
      </c>
      <c r="CF92" s="169">
        <f t="shared" si="18"/>
        <v>0</v>
      </c>
      <c r="CG92" s="169">
        <f t="shared" si="18"/>
        <v>0</v>
      </c>
      <c r="CH92" s="169">
        <f t="shared" si="18"/>
        <v>0</v>
      </c>
      <c r="CI92" s="169">
        <f t="shared" si="18"/>
        <v>0</v>
      </c>
      <c r="CJ92" s="169">
        <f t="shared" si="18"/>
        <v>0</v>
      </c>
      <c r="CK92" s="169">
        <f t="shared" si="18"/>
        <v>0</v>
      </c>
      <c r="CL92" s="169">
        <f t="shared" si="18"/>
        <v>0</v>
      </c>
      <c r="CM92" s="169">
        <f t="shared" si="18"/>
        <v>0</v>
      </c>
      <c r="CN92" s="169">
        <f t="shared" si="18"/>
        <v>0</v>
      </c>
      <c r="CO92" s="169">
        <f t="shared" si="18"/>
        <v>0</v>
      </c>
      <c r="CP92" s="169">
        <f t="shared" si="18"/>
        <v>0</v>
      </c>
      <c r="CQ92" s="169">
        <f t="shared" si="18"/>
        <v>0</v>
      </c>
      <c r="CR92" s="169">
        <f t="shared" si="18"/>
        <v>0</v>
      </c>
      <c r="CS92" s="169">
        <f t="shared" si="18"/>
        <v>0</v>
      </c>
      <c r="CT92" s="169">
        <f t="shared" si="18"/>
        <v>0</v>
      </c>
      <c r="CU92" s="169">
        <f t="shared" si="18"/>
        <v>0</v>
      </c>
      <c r="CV92" s="169">
        <f t="shared" si="18"/>
        <v>0</v>
      </c>
      <c r="CW92" s="169">
        <f t="shared" si="18"/>
        <v>0</v>
      </c>
      <c r="CX92" s="169">
        <f t="shared" si="18"/>
        <v>0</v>
      </c>
      <c r="CY92" s="169">
        <f t="shared" si="18"/>
        <v>0</v>
      </c>
      <c r="CZ92" s="5"/>
      <c r="DA92" s="5"/>
      <c r="DB92" s="5"/>
      <c r="DC92" s="183" t="str">
        <f t="shared" si="19"/>
        <v>lot6</v>
      </c>
      <c r="DD92" s="186">
        <f>Scénario!K121</f>
        <v>0</v>
      </c>
      <c r="DE92" s="169">
        <f t="shared" si="22"/>
        <v>0</v>
      </c>
      <c r="DF92" s="169">
        <f t="shared" si="20"/>
        <v>0</v>
      </c>
      <c r="DG92" s="169">
        <f t="shared" si="20"/>
        <v>0</v>
      </c>
      <c r="DH92" s="169">
        <f t="shared" si="20"/>
        <v>0</v>
      </c>
      <c r="DI92" s="169">
        <f t="shared" si="20"/>
        <v>0</v>
      </c>
      <c r="DJ92" s="169">
        <f t="shared" si="20"/>
        <v>0</v>
      </c>
      <c r="DK92" s="169">
        <f t="shared" si="20"/>
        <v>0</v>
      </c>
      <c r="DL92" s="169">
        <f t="shared" si="20"/>
        <v>0</v>
      </c>
      <c r="DM92" s="169">
        <f t="shared" si="20"/>
        <v>0</v>
      </c>
      <c r="DN92" s="169">
        <f t="shared" si="20"/>
        <v>0</v>
      </c>
      <c r="DO92" s="169">
        <f t="shared" si="20"/>
        <v>0</v>
      </c>
      <c r="DP92" s="169">
        <f t="shared" si="20"/>
        <v>0</v>
      </c>
      <c r="DQ92" s="169">
        <f t="shared" si="20"/>
        <v>0</v>
      </c>
      <c r="DR92" s="169">
        <f t="shared" si="20"/>
        <v>0</v>
      </c>
      <c r="DS92" s="169">
        <f t="shared" si="20"/>
        <v>0</v>
      </c>
      <c r="DT92" s="169">
        <f t="shared" si="20"/>
        <v>0</v>
      </c>
      <c r="DU92" s="169">
        <f t="shared" si="20"/>
        <v>0</v>
      </c>
      <c r="DV92" s="169">
        <f t="shared" si="20"/>
        <v>0</v>
      </c>
      <c r="DW92" s="169">
        <f t="shared" si="20"/>
        <v>0</v>
      </c>
      <c r="DX92" s="169">
        <f t="shared" si="20"/>
        <v>0</v>
      </c>
      <c r="DY92" s="169">
        <f t="shared" si="20"/>
        <v>0</v>
      </c>
      <c r="DZ92" s="169">
        <f t="shared" si="20"/>
        <v>0</v>
      </c>
      <c r="EA92" s="169">
        <f t="shared" si="20"/>
        <v>0</v>
      </c>
      <c r="EB92" s="169">
        <f t="shared" si="20"/>
        <v>0</v>
      </c>
    </row>
    <row r="93" spans="1:132" x14ac:dyDescent="0.25">
      <c r="B93" s="14" t="s">
        <v>556</v>
      </c>
      <c r="C93" s="169">
        <f>Scénario!K37</f>
        <v>0</v>
      </c>
      <c r="D93" s="25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5"/>
        <v>0</v>
      </c>
      <c r="AW93" s="169">
        <f t="shared" si="15"/>
        <v>0</v>
      </c>
      <c r="AX93" s="169">
        <f t="shared" si="15"/>
        <v>0</v>
      </c>
      <c r="AY93" s="169">
        <f t="shared" si="15"/>
        <v>0</v>
      </c>
      <c r="AZ93" s="169">
        <f t="shared" si="15"/>
        <v>0</v>
      </c>
      <c r="BA93" s="169">
        <f t="shared" si="15"/>
        <v>0</v>
      </c>
      <c r="BB93" s="169">
        <f t="shared" si="15"/>
        <v>0</v>
      </c>
      <c r="BC93" s="169">
        <f t="shared" si="15"/>
        <v>0</v>
      </c>
      <c r="BD93" s="169">
        <f t="shared" si="15"/>
        <v>0</v>
      </c>
      <c r="BE93" s="169">
        <f t="shared" si="15"/>
        <v>0</v>
      </c>
      <c r="BF93" s="169">
        <f t="shared" si="15"/>
        <v>0</v>
      </c>
      <c r="BG93" s="169">
        <f t="shared" si="15"/>
        <v>0</v>
      </c>
      <c r="BH93" s="169">
        <f t="shared" si="15"/>
        <v>0</v>
      </c>
      <c r="BI93" s="169">
        <f t="shared" si="15"/>
        <v>0</v>
      </c>
      <c r="BJ93" s="169">
        <f t="shared" si="15"/>
        <v>0</v>
      </c>
      <c r="BK93" s="169">
        <f t="shared" si="15"/>
        <v>0</v>
      </c>
      <c r="BL93" s="169">
        <f t="shared" si="16"/>
        <v>0</v>
      </c>
      <c r="BM93" s="169">
        <f t="shared" si="16"/>
        <v>0</v>
      </c>
      <c r="BN93" s="169">
        <f t="shared" si="16"/>
        <v>0</v>
      </c>
      <c r="BO93" s="169">
        <f t="shared" si="16"/>
        <v>0</v>
      </c>
      <c r="BP93" s="169">
        <f t="shared" si="16"/>
        <v>0</v>
      </c>
      <c r="BQ93" s="169">
        <f t="shared" si="16"/>
        <v>0</v>
      </c>
      <c r="BR93" s="169">
        <f t="shared" si="16"/>
        <v>0</v>
      </c>
      <c r="BS93" s="169">
        <f t="shared" si="16"/>
        <v>0</v>
      </c>
      <c r="BT93" s="5"/>
      <c r="BY93" s="5"/>
      <c r="BZ93" s="183" t="str">
        <f t="shared" si="17"/>
        <v>lot7</v>
      </c>
      <c r="CA93" s="186">
        <f>Scénario!K112</f>
        <v>0</v>
      </c>
      <c r="CB93" s="169">
        <f t="shared" si="21"/>
        <v>0</v>
      </c>
      <c r="CC93" s="169">
        <f t="shared" si="18"/>
        <v>0</v>
      </c>
      <c r="CD93" s="169">
        <f t="shared" si="18"/>
        <v>0</v>
      </c>
      <c r="CE93" s="169">
        <f t="shared" si="18"/>
        <v>0</v>
      </c>
      <c r="CF93" s="169">
        <f t="shared" si="18"/>
        <v>0</v>
      </c>
      <c r="CG93" s="169">
        <f t="shared" si="18"/>
        <v>0</v>
      </c>
      <c r="CH93" s="169">
        <f t="shared" si="18"/>
        <v>0</v>
      </c>
      <c r="CI93" s="169">
        <f t="shared" si="18"/>
        <v>0</v>
      </c>
      <c r="CJ93" s="169">
        <f t="shared" si="18"/>
        <v>0</v>
      </c>
      <c r="CK93" s="169">
        <f t="shared" si="18"/>
        <v>0</v>
      </c>
      <c r="CL93" s="169">
        <f t="shared" si="18"/>
        <v>0</v>
      </c>
      <c r="CM93" s="169">
        <f t="shared" si="18"/>
        <v>0</v>
      </c>
      <c r="CN93" s="169">
        <f t="shared" si="18"/>
        <v>0</v>
      </c>
      <c r="CO93" s="169">
        <f t="shared" si="18"/>
        <v>0</v>
      </c>
      <c r="CP93" s="169">
        <f t="shared" si="18"/>
        <v>0</v>
      </c>
      <c r="CQ93" s="169">
        <f t="shared" si="18"/>
        <v>0</v>
      </c>
      <c r="CR93" s="169">
        <f t="shared" si="18"/>
        <v>0</v>
      </c>
      <c r="CS93" s="169">
        <f t="shared" si="18"/>
        <v>0</v>
      </c>
      <c r="CT93" s="169">
        <f t="shared" si="18"/>
        <v>0</v>
      </c>
      <c r="CU93" s="169">
        <f t="shared" si="18"/>
        <v>0</v>
      </c>
      <c r="CV93" s="169">
        <f t="shared" si="18"/>
        <v>0</v>
      </c>
      <c r="CW93" s="169">
        <f t="shared" si="18"/>
        <v>0</v>
      </c>
      <c r="CX93" s="169">
        <f t="shared" si="18"/>
        <v>0</v>
      </c>
      <c r="CY93" s="169">
        <f t="shared" si="18"/>
        <v>0</v>
      </c>
      <c r="CZ93" s="5"/>
      <c r="DA93" s="5"/>
      <c r="DB93" s="5"/>
      <c r="DC93" s="183" t="str">
        <f t="shared" si="19"/>
        <v>lot7</v>
      </c>
      <c r="DD93" s="186">
        <f>Scénario!K122</f>
        <v>0</v>
      </c>
      <c r="DE93" s="169">
        <f t="shared" si="22"/>
        <v>0</v>
      </c>
      <c r="DF93" s="169">
        <f t="shared" si="20"/>
        <v>0</v>
      </c>
      <c r="DG93" s="169">
        <f t="shared" si="20"/>
        <v>0</v>
      </c>
      <c r="DH93" s="169">
        <f t="shared" si="20"/>
        <v>0</v>
      </c>
      <c r="DI93" s="169">
        <f t="shared" si="20"/>
        <v>0</v>
      </c>
      <c r="DJ93" s="169">
        <f t="shared" si="20"/>
        <v>0</v>
      </c>
      <c r="DK93" s="169">
        <f t="shared" si="20"/>
        <v>0</v>
      </c>
      <c r="DL93" s="169">
        <f t="shared" si="20"/>
        <v>0</v>
      </c>
      <c r="DM93" s="169">
        <f t="shared" si="20"/>
        <v>0</v>
      </c>
      <c r="DN93" s="169">
        <f t="shared" si="20"/>
        <v>0</v>
      </c>
      <c r="DO93" s="169">
        <f t="shared" si="20"/>
        <v>0</v>
      </c>
      <c r="DP93" s="169">
        <f t="shared" si="20"/>
        <v>0</v>
      </c>
      <c r="DQ93" s="169">
        <f t="shared" si="20"/>
        <v>0</v>
      </c>
      <c r="DR93" s="169">
        <f t="shared" si="20"/>
        <v>0</v>
      </c>
      <c r="DS93" s="169">
        <f t="shared" si="20"/>
        <v>0</v>
      </c>
      <c r="DT93" s="169">
        <f t="shared" si="20"/>
        <v>0</v>
      </c>
      <c r="DU93" s="169">
        <f t="shared" si="20"/>
        <v>0</v>
      </c>
      <c r="DV93" s="169">
        <f t="shared" si="20"/>
        <v>0</v>
      </c>
      <c r="DW93" s="169">
        <f t="shared" si="20"/>
        <v>0</v>
      </c>
      <c r="DX93" s="169">
        <f t="shared" si="20"/>
        <v>0</v>
      </c>
      <c r="DY93" s="169">
        <f t="shared" si="20"/>
        <v>0</v>
      </c>
      <c r="DZ93" s="169">
        <f t="shared" si="20"/>
        <v>0</v>
      </c>
      <c r="EA93" s="169">
        <f t="shared" si="20"/>
        <v>0</v>
      </c>
      <c r="EB93" s="169">
        <f t="shared" si="20"/>
        <v>0</v>
      </c>
    </row>
    <row r="94" spans="1:132" x14ac:dyDescent="0.25">
      <c r="B94" s="14" t="s">
        <v>557</v>
      </c>
      <c r="C94" s="169">
        <f>Scénario!K38</f>
        <v>0</v>
      </c>
      <c r="D94" s="255">
        <f t="shared" si="14"/>
        <v>0</v>
      </c>
      <c r="F94" s="14" t="s">
        <v>917</v>
      </c>
      <c r="G94" s="30" t="str">
        <f>CdTrp1!A88</f>
        <v>Vaches suitées au pâturage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5"/>
        <v>0</v>
      </c>
      <c r="AW94" s="169">
        <f t="shared" si="15"/>
        <v>0</v>
      </c>
      <c r="AX94" s="169">
        <f t="shared" si="15"/>
        <v>0</v>
      </c>
      <c r="AY94" s="169">
        <f t="shared" si="15"/>
        <v>0</v>
      </c>
      <c r="AZ94" s="169">
        <f t="shared" si="15"/>
        <v>0</v>
      </c>
      <c r="BA94" s="169">
        <f t="shared" si="15"/>
        <v>0</v>
      </c>
      <c r="BB94" s="169">
        <f t="shared" si="15"/>
        <v>0</v>
      </c>
      <c r="BC94" s="169">
        <f t="shared" si="15"/>
        <v>0</v>
      </c>
      <c r="BD94" s="169">
        <f t="shared" si="15"/>
        <v>0</v>
      </c>
      <c r="BE94" s="169">
        <f t="shared" si="15"/>
        <v>0</v>
      </c>
      <c r="BF94" s="169">
        <f t="shared" si="15"/>
        <v>0</v>
      </c>
      <c r="BG94" s="169">
        <f t="shared" si="15"/>
        <v>0</v>
      </c>
      <c r="BH94" s="169">
        <f t="shared" si="15"/>
        <v>0</v>
      </c>
      <c r="BI94" s="169">
        <f t="shared" si="15"/>
        <v>0</v>
      </c>
      <c r="BJ94" s="169">
        <f t="shared" si="15"/>
        <v>0</v>
      </c>
      <c r="BK94" s="169">
        <f t="shared" si="15"/>
        <v>0</v>
      </c>
      <c r="BL94" s="169">
        <f t="shared" si="16"/>
        <v>0</v>
      </c>
      <c r="BM94" s="169">
        <f t="shared" si="16"/>
        <v>0</v>
      </c>
      <c r="BN94" s="169">
        <f t="shared" si="16"/>
        <v>0</v>
      </c>
      <c r="BO94" s="169">
        <f t="shared" si="16"/>
        <v>0</v>
      </c>
      <c r="BP94" s="169">
        <f t="shared" si="16"/>
        <v>0</v>
      </c>
      <c r="BQ94" s="169">
        <f t="shared" si="16"/>
        <v>0</v>
      </c>
      <c r="BR94" s="169">
        <f t="shared" si="16"/>
        <v>0</v>
      </c>
      <c r="BS94" s="169">
        <f t="shared" si="16"/>
        <v>0</v>
      </c>
      <c r="BT94" s="5"/>
      <c r="BY94" s="5"/>
      <c r="BZ94" s="183" t="str">
        <f t="shared" si="17"/>
        <v>lot8</v>
      </c>
      <c r="CA94" s="186">
        <f>Scénario!K113</f>
        <v>0</v>
      </c>
      <c r="CB94" s="169">
        <f t="shared" si="21"/>
        <v>0</v>
      </c>
      <c r="CC94" s="169">
        <f t="shared" si="18"/>
        <v>0</v>
      </c>
      <c r="CD94" s="169">
        <f t="shared" si="18"/>
        <v>0</v>
      </c>
      <c r="CE94" s="169">
        <f t="shared" si="18"/>
        <v>0</v>
      </c>
      <c r="CF94" s="169">
        <f t="shared" si="18"/>
        <v>0</v>
      </c>
      <c r="CG94" s="169">
        <f t="shared" si="18"/>
        <v>0</v>
      </c>
      <c r="CH94" s="169">
        <f t="shared" si="18"/>
        <v>0</v>
      </c>
      <c r="CI94" s="169">
        <f t="shared" si="18"/>
        <v>0</v>
      </c>
      <c r="CJ94" s="169">
        <f t="shared" si="18"/>
        <v>0</v>
      </c>
      <c r="CK94" s="169">
        <f t="shared" si="18"/>
        <v>0</v>
      </c>
      <c r="CL94" s="169">
        <f t="shared" si="18"/>
        <v>0</v>
      </c>
      <c r="CM94" s="169">
        <f t="shared" si="18"/>
        <v>0</v>
      </c>
      <c r="CN94" s="169">
        <f t="shared" si="18"/>
        <v>0</v>
      </c>
      <c r="CO94" s="169">
        <f t="shared" si="18"/>
        <v>0</v>
      </c>
      <c r="CP94" s="169">
        <f t="shared" si="18"/>
        <v>0</v>
      </c>
      <c r="CQ94" s="169">
        <f t="shared" si="18"/>
        <v>0</v>
      </c>
      <c r="CR94" s="169">
        <f t="shared" si="18"/>
        <v>0</v>
      </c>
      <c r="CS94" s="169">
        <f t="shared" si="18"/>
        <v>0</v>
      </c>
      <c r="CT94" s="169">
        <f t="shared" si="18"/>
        <v>0</v>
      </c>
      <c r="CU94" s="169">
        <f t="shared" si="18"/>
        <v>0</v>
      </c>
      <c r="CV94" s="169">
        <f t="shared" si="18"/>
        <v>0</v>
      </c>
      <c r="CW94" s="169">
        <f t="shared" si="18"/>
        <v>0</v>
      </c>
      <c r="CX94" s="169">
        <f t="shared" si="18"/>
        <v>0</v>
      </c>
      <c r="CY94" s="169">
        <f t="shared" si="18"/>
        <v>0</v>
      </c>
      <c r="CZ94" s="5"/>
      <c r="DA94" s="5"/>
      <c r="DB94" s="5"/>
      <c r="DC94" s="183" t="str">
        <f t="shared" si="19"/>
        <v>lot8</v>
      </c>
      <c r="DD94" s="186">
        <f>Scénario!K123</f>
        <v>0</v>
      </c>
      <c r="DE94" s="169">
        <f t="shared" si="22"/>
        <v>0</v>
      </c>
      <c r="DF94" s="169">
        <f t="shared" si="20"/>
        <v>0</v>
      </c>
      <c r="DG94" s="169">
        <f t="shared" si="20"/>
        <v>0</v>
      </c>
      <c r="DH94" s="169">
        <f t="shared" si="20"/>
        <v>0</v>
      </c>
      <c r="DI94" s="169">
        <f t="shared" si="20"/>
        <v>0</v>
      </c>
      <c r="DJ94" s="169">
        <f t="shared" si="20"/>
        <v>0</v>
      </c>
      <c r="DK94" s="169">
        <f t="shared" si="20"/>
        <v>0</v>
      </c>
      <c r="DL94" s="169">
        <f t="shared" si="20"/>
        <v>0</v>
      </c>
      <c r="DM94" s="169">
        <f t="shared" si="20"/>
        <v>0</v>
      </c>
      <c r="DN94" s="169">
        <f t="shared" si="20"/>
        <v>0</v>
      </c>
      <c r="DO94" s="169">
        <f t="shared" si="20"/>
        <v>0</v>
      </c>
      <c r="DP94" s="169">
        <f t="shared" si="20"/>
        <v>0</v>
      </c>
      <c r="DQ94" s="169">
        <f t="shared" si="20"/>
        <v>0</v>
      </c>
      <c r="DR94" s="169">
        <f t="shared" si="20"/>
        <v>0</v>
      </c>
      <c r="DS94" s="169">
        <f t="shared" si="20"/>
        <v>0</v>
      </c>
      <c r="DT94" s="169">
        <f t="shared" si="20"/>
        <v>0</v>
      </c>
      <c r="DU94" s="169">
        <f t="shared" si="20"/>
        <v>0</v>
      </c>
      <c r="DV94" s="169">
        <f t="shared" si="20"/>
        <v>0</v>
      </c>
      <c r="DW94" s="169">
        <f t="shared" si="20"/>
        <v>0</v>
      </c>
      <c r="DX94" s="169">
        <f t="shared" si="20"/>
        <v>0</v>
      </c>
      <c r="DY94" s="169">
        <f t="shared" si="20"/>
        <v>0</v>
      </c>
      <c r="DZ94" s="169">
        <f t="shared" si="20"/>
        <v>0</v>
      </c>
      <c r="EA94" s="169">
        <f t="shared" si="20"/>
        <v>0</v>
      </c>
      <c r="EB94" s="169">
        <f t="shared" si="20"/>
        <v>0</v>
      </c>
    </row>
    <row r="95" spans="1:132" x14ac:dyDescent="0.25">
      <c r="B95" s="14" t="s">
        <v>1218</v>
      </c>
      <c r="C95" s="169">
        <f>'Calcul éco'!B39</f>
        <v>0</v>
      </c>
      <c r="D95" s="255">
        <f>ROUND(C95*$D$82/$C$82,3)</f>
        <v>0</v>
      </c>
      <c r="F95" s="14"/>
      <c r="G95" s="256" t="str">
        <f>CdTrp1!A89</f>
        <v xml:space="preserve">Vaches lot principal 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5"/>
        <v>0</v>
      </c>
      <c r="AW95" s="169">
        <f t="shared" si="15"/>
        <v>0</v>
      </c>
      <c r="AX95" s="169">
        <f t="shared" si="15"/>
        <v>0</v>
      </c>
      <c r="AY95" s="169">
        <f t="shared" si="15"/>
        <v>0</v>
      </c>
      <c r="AZ95" s="169">
        <f t="shared" si="15"/>
        <v>0</v>
      </c>
      <c r="BA95" s="169">
        <f t="shared" si="15"/>
        <v>0</v>
      </c>
      <c r="BB95" s="169">
        <f t="shared" si="15"/>
        <v>0</v>
      </c>
      <c r="BC95" s="169">
        <f t="shared" si="15"/>
        <v>0</v>
      </c>
      <c r="BD95" s="169">
        <f t="shared" si="15"/>
        <v>0</v>
      </c>
      <c r="BE95" s="169">
        <f t="shared" si="15"/>
        <v>0</v>
      </c>
      <c r="BF95" s="169">
        <f t="shared" si="15"/>
        <v>0</v>
      </c>
      <c r="BG95" s="169">
        <f t="shared" si="15"/>
        <v>0</v>
      </c>
      <c r="BH95" s="169">
        <f t="shared" si="15"/>
        <v>0</v>
      </c>
      <c r="BI95" s="169">
        <f t="shared" si="15"/>
        <v>0</v>
      </c>
      <c r="BJ95" s="169">
        <f t="shared" si="15"/>
        <v>0</v>
      </c>
      <c r="BK95" s="169">
        <f t="shared" si="15"/>
        <v>0</v>
      </c>
      <c r="BL95" s="169">
        <f t="shared" si="16"/>
        <v>0</v>
      </c>
      <c r="BM95" s="169">
        <f t="shared" si="16"/>
        <v>0</v>
      </c>
      <c r="BN95" s="169">
        <f t="shared" si="16"/>
        <v>0</v>
      </c>
      <c r="BO95" s="169">
        <f t="shared" si="16"/>
        <v>0</v>
      </c>
      <c r="BP95" s="169">
        <f t="shared" si="16"/>
        <v>0</v>
      </c>
      <c r="BQ95" s="169">
        <f t="shared" si="16"/>
        <v>0</v>
      </c>
      <c r="BR95" s="169">
        <f t="shared" si="16"/>
        <v>0</v>
      </c>
      <c r="BS95" s="169">
        <f t="shared" si="16"/>
        <v>0</v>
      </c>
      <c r="BT95" s="5"/>
      <c r="BY95" s="5"/>
      <c r="BZ95" s="183" t="str">
        <f t="shared" si="17"/>
        <v>lot9</v>
      </c>
      <c r="CA95" s="186">
        <f>Scénario!K114</f>
        <v>0</v>
      </c>
      <c r="CB95" s="169">
        <f t="shared" si="21"/>
        <v>0</v>
      </c>
      <c r="CC95" s="169">
        <f t="shared" si="18"/>
        <v>0</v>
      </c>
      <c r="CD95" s="169">
        <f t="shared" si="18"/>
        <v>0</v>
      </c>
      <c r="CE95" s="169">
        <f t="shared" si="18"/>
        <v>0</v>
      </c>
      <c r="CF95" s="169">
        <f t="shared" si="18"/>
        <v>0</v>
      </c>
      <c r="CG95" s="169">
        <f t="shared" si="18"/>
        <v>0</v>
      </c>
      <c r="CH95" s="169">
        <f t="shared" si="18"/>
        <v>0</v>
      </c>
      <c r="CI95" s="169">
        <f t="shared" si="18"/>
        <v>0</v>
      </c>
      <c r="CJ95" s="169">
        <f t="shared" si="18"/>
        <v>0</v>
      </c>
      <c r="CK95" s="169">
        <f t="shared" si="18"/>
        <v>0</v>
      </c>
      <c r="CL95" s="169">
        <f t="shared" si="18"/>
        <v>0</v>
      </c>
      <c r="CM95" s="169">
        <f t="shared" si="18"/>
        <v>0</v>
      </c>
      <c r="CN95" s="169">
        <f t="shared" si="18"/>
        <v>0</v>
      </c>
      <c r="CO95" s="169">
        <f t="shared" si="18"/>
        <v>0</v>
      </c>
      <c r="CP95" s="169">
        <f t="shared" si="18"/>
        <v>0</v>
      </c>
      <c r="CQ95" s="169">
        <f t="shared" si="18"/>
        <v>0</v>
      </c>
      <c r="CR95" s="169">
        <f t="shared" si="18"/>
        <v>0</v>
      </c>
      <c r="CS95" s="169">
        <f t="shared" si="18"/>
        <v>0</v>
      </c>
      <c r="CT95" s="169">
        <f t="shared" si="18"/>
        <v>0</v>
      </c>
      <c r="CU95" s="169">
        <f t="shared" si="18"/>
        <v>0</v>
      </c>
      <c r="CV95" s="169">
        <f t="shared" si="18"/>
        <v>0</v>
      </c>
      <c r="CW95" s="169">
        <f t="shared" si="18"/>
        <v>0</v>
      </c>
      <c r="CX95" s="169">
        <f t="shared" si="18"/>
        <v>0</v>
      </c>
      <c r="CY95" s="169">
        <f t="shared" si="18"/>
        <v>0</v>
      </c>
      <c r="CZ95" s="5"/>
      <c r="DA95" s="5"/>
      <c r="DB95" s="5"/>
      <c r="DC95" s="183" t="str">
        <f t="shared" si="19"/>
        <v>lot9</v>
      </c>
      <c r="DD95" s="186">
        <f>Scénario!K124</f>
        <v>0</v>
      </c>
      <c r="DE95" s="169">
        <f t="shared" si="22"/>
        <v>0</v>
      </c>
      <c r="DF95" s="169">
        <f t="shared" si="20"/>
        <v>0</v>
      </c>
      <c r="DG95" s="169">
        <f t="shared" si="20"/>
        <v>0</v>
      </c>
      <c r="DH95" s="169">
        <f t="shared" si="20"/>
        <v>0</v>
      </c>
      <c r="DI95" s="169">
        <f t="shared" si="20"/>
        <v>0</v>
      </c>
      <c r="DJ95" s="169">
        <f t="shared" si="20"/>
        <v>0</v>
      </c>
      <c r="DK95" s="169">
        <f t="shared" si="20"/>
        <v>0</v>
      </c>
      <c r="DL95" s="169">
        <f t="shared" si="20"/>
        <v>0</v>
      </c>
      <c r="DM95" s="169">
        <f t="shared" si="20"/>
        <v>0</v>
      </c>
      <c r="DN95" s="169">
        <f t="shared" si="20"/>
        <v>0</v>
      </c>
      <c r="DO95" s="169">
        <f t="shared" si="20"/>
        <v>0</v>
      </c>
      <c r="DP95" s="169">
        <f t="shared" si="20"/>
        <v>0</v>
      </c>
      <c r="DQ95" s="169">
        <f t="shared" si="20"/>
        <v>0</v>
      </c>
      <c r="DR95" s="169">
        <f t="shared" si="20"/>
        <v>0</v>
      </c>
      <c r="DS95" s="169">
        <f t="shared" si="20"/>
        <v>0</v>
      </c>
      <c r="DT95" s="169">
        <f t="shared" si="20"/>
        <v>0</v>
      </c>
      <c r="DU95" s="169">
        <f t="shared" si="20"/>
        <v>0</v>
      </c>
      <c r="DV95" s="169">
        <f t="shared" si="20"/>
        <v>0</v>
      </c>
      <c r="DW95" s="169">
        <f t="shared" si="20"/>
        <v>0</v>
      </c>
      <c r="DX95" s="169">
        <f t="shared" si="20"/>
        <v>0</v>
      </c>
      <c r="DY95" s="169">
        <f t="shared" si="20"/>
        <v>0</v>
      </c>
      <c r="DZ95" s="169">
        <f t="shared" si="20"/>
        <v>0</v>
      </c>
      <c r="EA95" s="169">
        <f t="shared" si="20"/>
        <v>0</v>
      </c>
      <c r="EB95" s="169">
        <f t="shared" si="20"/>
        <v>0</v>
      </c>
    </row>
    <row r="96" spans="1:132" x14ac:dyDescent="0.25">
      <c r="B96" s="14" t="s">
        <v>558</v>
      </c>
      <c r="C96" s="169">
        <f>Scénario!K39</f>
        <v>0</v>
      </c>
      <c r="D96" s="255">
        <f t="shared" si="14"/>
        <v>0</v>
      </c>
      <c r="F96" s="14"/>
      <c r="G96" s="256" t="str">
        <f>CdTrp1!A90</f>
        <v>Génisses renouvellement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5"/>
        <v>0</v>
      </c>
      <c r="AW96" s="169">
        <f t="shared" si="15"/>
        <v>0</v>
      </c>
      <c r="AX96" s="169">
        <f t="shared" si="15"/>
        <v>0</v>
      </c>
      <c r="AY96" s="169">
        <f t="shared" si="15"/>
        <v>0</v>
      </c>
      <c r="AZ96" s="169">
        <f t="shared" si="15"/>
        <v>0</v>
      </c>
      <c r="BA96" s="169">
        <f t="shared" si="15"/>
        <v>0</v>
      </c>
      <c r="BB96" s="169">
        <f t="shared" si="15"/>
        <v>0</v>
      </c>
      <c r="BC96" s="169">
        <f t="shared" si="15"/>
        <v>0</v>
      </c>
      <c r="BD96" s="169">
        <f t="shared" si="15"/>
        <v>0</v>
      </c>
      <c r="BE96" s="169">
        <f t="shared" si="15"/>
        <v>0</v>
      </c>
      <c r="BF96" s="169">
        <f t="shared" si="15"/>
        <v>0</v>
      </c>
      <c r="BG96" s="169">
        <f t="shared" si="15"/>
        <v>0</v>
      </c>
      <c r="BH96" s="169">
        <f t="shared" si="15"/>
        <v>0</v>
      </c>
      <c r="BI96" s="169">
        <f t="shared" si="15"/>
        <v>0</v>
      </c>
      <c r="BJ96" s="169">
        <f t="shared" si="15"/>
        <v>0</v>
      </c>
      <c r="BK96" s="169">
        <f t="shared" si="15"/>
        <v>0</v>
      </c>
      <c r="BL96" s="169">
        <f t="shared" si="16"/>
        <v>0</v>
      </c>
      <c r="BM96" s="169">
        <f t="shared" si="16"/>
        <v>0</v>
      </c>
      <c r="BN96" s="169">
        <f t="shared" si="16"/>
        <v>0</v>
      </c>
      <c r="BO96" s="169">
        <f t="shared" si="16"/>
        <v>0</v>
      </c>
      <c r="BP96" s="169">
        <f t="shared" si="16"/>
        <v>0</v>
      </c>
      <c r="BQ96" s="169">
        <f t="shared" si="16"/>
        <v>0</v>
      </c>
      <c r="BR96" s="169">
        <f t="shared" si="16"/>
        <v>0</v>
      </c>
      <c r="BS96" s="169">
        <f t="shared" si="16"/>
        <v>0</v>
      </c>
      <c r="BZ96" s="183" t="str">
        <f t="shared" si="17"/>
        <v>lot10</v>
      </c>
      <c r="CA96" s="186">
        <f>Scénario!K115</f>
        <v>0</v>
      </c>
      <c r="CB96" s="169">
        <f t="shared" si="21"/>
        <v>0</v>
      </c>
      <c r="CC96" s="169">
        <f t="shared" si="18"/>
        <v>0</v>
      </c>
      <c r="CD96" s="169">
        <f t="shared" si="18"/>
        <v>0</v>
      </c>
      <c r="CE96" s="169">
        <f t="shared" si="18"/>
        <v>0</v>
      </c>
      <c r="CF96" s="169">
        <f t="shared" si="18"/>
        <v>0</v>
      </c>
      <c r="CG96" s="169">
        <f t="shared" si="18"/>
        <v>0</v>
      </c>
      <c r="CH96" s="169">
        <f t="shared" si="18"/>
        <v>0</v>
      </c>
      <c r="CI96" s="169">
        <f t="shared" si="18"/>
        <v>0</v>
      </c>
      <c r="CJ96" s="169">
        <f t="shared" si="18"/>
        <v>0</v>
      </c>
      <c r="CK96" s="169">
        <f t="shared" si="18"/>
        <v>0</v>
      </c>
      <c r="CL96" s="169">
        <f t="shared" si="18"/>
        <v>0</v>
      </c>
      <c r="CM96" s="169">
        <f t="shared" si="18"/>
        <v>0</v>
      </c>
      <c r="CN96" s="169">
        <f t="shared" si="18"/>
        <v>0</v>
      </c>
      <c r="CO96" s="169">
        <f t="shared" si="18"/>
        <v>0</v>
      </c>
      <c r="CP96" s="169">
        <f t="shared" si="18"/>
        <v>0</v>
      </c>
      <c r="CQ96" s="169">
        <f t="shared" si="18"/>
        <v>0</v>
      </c>
      <c r="CR96" s="169">
        <f t="shared" si="18"/>
        <v>0</v>
      </c>
      <c r="CS96" s="169">
        <f t="shared" si="18"/>
        <v>0</v>
      </c>
      <c r="CT96" s="169">
        <f t="shared" si="18"/>
        <v>0</v>
      </c>
      <c r="CU96" s="169">
        <f t="shared" si="18"/>
        <v>0</v>
      </c>
      <c r="CV96" s="169">
        <f t="shared" si="18"/>
        <v>0</v>
      </c>
      <c r="CW96" s="169">
        <f t="shared" si="18"/>
        <v>0</v>
      </c>
      <c r="CX96" s="169">
        <f t="shared" si="18"/>
        <v>0</v>
      </c>
      <c r="CY96" s="169">
        <f t="shared" si="18"/>
        <v>0</v>
      </c>
      <c r="DC96" s="183" t="str">
        <f t="shared" si="19"/>
        <v>lot10</v>
      </c>
      <c r="DD96" s="186">
        <f>Scénario!K125</f>
        <v>0</v>
      </c>
      <c r="DE96" s="169">
        <f t="shared" si="22"/>
        <v>0</v>
      </c>
      <c r="DF96" s="169">
        <f t="shared" si="20"/>
        <v>0</v>
      </c>
      <c r="DG96" s="169">
        <f t="shared" si="20"/>
        <v>0</v>
      </c>
      <c r="DH96" s="169">
        <f t="shared" si="20"/>
        <v>0</v>
      </c>
      <c r="DI96" s="169">
        <f t="shared" si="20"/>
        <v>0</v>
      </c>
      <c r="DJ96" s="169">
        <f t="shared" si="20"/>
        <v>0</v>
      </c>
      <c r="DK96" s="169">
        <f t="shared" si="20"/>
        <v>0</v>
      </c>
      <c r="DL96" s="169">
        <f t="shared" si="20"/>
        <v>0</v>
      </c>
      <c r="DM96" s="169">
        <f t="shared" si="20"/>
        <v>0</v>
      </c>
      <c r="DN96" s="169">
        <f t="shared" si="20"/>
        <v>0</v>
      </c>
      <c r="DO96" s="169">
        <f t="shared" si="20"/>
        <v>0</v>
      </c>
      <c r="DP96" s="169">
        <f t="shared" si="20"/>
        <v>0</v>
      </c>
      <c r="DQ96" s="169">
        <f t="shared" si="20"/>
        <v>0</v>
      </c>
      <c r="DR96" s="169">
        <f t="shared" si="20"/>
        <v>0</v>
      </c>
      <c r="DS96" s="169">
        <f t="shared" si="20"/>
        <v>0</v>
      </c>
      <c r="DT96" s="169">
        <f t="shared" si="20"/>
        <v>0</v>
      </c>
      <c r="DU96" s="169">
        <f t="shared" si="20"/>
        <v>0</v>
      </c>
      <c r="DV96" s="169">
        <f t="shared" si="20"/>
        <v>0</v>
      </c>
      <c r="DW96" s="169">
        <f t="shared" si="20"/>
        <v>0</v>
      </c>
      <c r="DX96" s="169">
        <f t="shared" si="20"/>
        <v>0</v>
      </c>
      <c r="DY96" s="169">
        <f t="shared" si="20"/>
        <v>0</v>
      </c>
      <c r="DZ96" s="169">
        <f t="shared" si="20"/>
        <v>0</v>
      </c>
      <c r="EA96" s="169">
        <f t="shared" si="20"/>
        <v>0</v>
      </c>
      <c r="EB96" s="169">
        <f>IF($DD96="fort",2,IF($DD96="faible",1,0))</f>
        <v>0</v>
      </c>
    </row>
    <row r="97" spans="1:132" x14ac:dyDescent="0.25">
      <c r="A97" s="2" t="s">
        <v>1219</v>
      </c>
      <c r="B97" s="14" t="s">
        <v>1220</v>
      </c>
      <c r="C97" s="169">
        <f>C90+C75+C73</f>
        <v>19.700000000000003</v>
      </c>
      <c r="D97" s="255">
        <f t="shared" si="14"/>
        <v>0</v>
      </c>
      <c r="F97" s="14"/>
      <c r="G97" s="30" t="str">
        <f>CdTrp1!A91</f>
        <v>génisses 2/3 ans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751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751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1221</v>
      </c>
      <c r="B98" s="14" t="s">
        <v>1222</v>
      </c>
      <c r="C98" s="169">
        <f>MAX(H129:AE129)</f>
        <v>0</v>
      </c>
      <c r="D98" s="169">
        <f>C98</f>
        <v>0</v>
      </c>
      <c r="F98" s="14"/>
      <c r="G98" s="256" t="str">
        <f>CdTrp1!A92</f>
        <v>tardive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suitées au pâturage</v>
      </c>
      <c r="AU98" s="32"/>
      <c r="AV98" s="169">
        <f>IF(CdTrp1!B52=1,3,IF(CdTrp1!B52=0.5,2,IF(CdTrp1!B52=0,1,0)))</f>
        <v>0</v>
      </c>
      <c r="AW98" s="169">
        <f>IF(CdTrp1!C52=1,3,IF(CdTrp1!C52=0.5,2,IF(CdTrp1!C52=0,1,0)))</f>
        <v>0</v>
      </c>
      <c r="AX98" s="169">
        <f>IF(CdTrp1!D52=1,3,IF(CdTrp1!D52=0.5,2,IF(CdTrp1!D52=0,1,0)))</f>
        <v>0</v>
      </c>
      <c r="AY98" s="169">
        <f>IF(CdTrp1!E52=1,3,IF(CdTrp1!E52=0.5,2,IF(CdTrp1!E52=0,1,0)))</f>
        <v>0</v>
      </c>
      <c r="AZ98" s="169">
        <f>IF(CdTrp1!F52=1,3,IF(CdTrp1!F52=0.5,2,IF(CdTrp1!F52=0,1,0)))</f>
        <v>0</v>
      </c>
      <c r="BA98" s="169">
        <f>IF(CdTrp1!G52=1,3,IF(CdTrp1!G52=0.5,2,IF(CdTrp1!G52=0,1,0)))</f>
        <v>0</v>
      </c>
      <c r="BB98" s="169">
        <f>IF(CdTrp1!H52=1,3,IF(CdTrp1!H52=0.5,2,IF(CdTrp1!H52=0,1,0)))</f>
        <v>3</v>
      </c>
      <c r="BC98" s="169">
        <f>IF(CdTrp1!I52=1,3,IF(CdTrp1!I52=0.5,2,IF(CdTrp1!I52=0,1,0)))</f>
        <v>3</v>
      </c>
      <c r="BD98" s="169">
        <f>IF(CdTrp1!J52=1,3,IF(CdTrp1!J52=0.5,2,IF(CdTrp1!J52=0,1,0)))</f>
        <v>3</v>
      </c>
      <c r="BE98" s="169">
        <f>IF(CdTrp1!K52=1,3,IF(CdTrp1!K52=0.5,2,IF(CdTrp1!K52=0,1,0)))</f>
        <v>3</v>
      </c>
      <c r="BF98" s="169">
        <f>IF(CdTrp1!L52=1,3,IF(CdTrp1!L52=0.5,2,IF(CdTrp1!L52=0,1,0)))</f>
        <v>0</v>
      </c>
      <c r="BG98" s="169">
        <f>IF(CdTrp1!M52=1,3,IF(CdTrp1!M52=0.5,2,IF(CdTrp1!M52=0,1,0)))</f>
        <v>0</v>
      </c>
      <c r="BH98" s="169">
        <f>IF(CdTrp1!N52=1,3,IF(CdTrp1!N52=0.5,2,IF(CdTrp1!N52=0,1,0)))</f>
        <v>0</v>
      </c>
      <c r="BI98" s="169">
        <f>IF(CdTrp1!O52=1,3,IF(CdTrp1!O52=0.5,2,IF(CdTrp1!O52=0,1,0)))</f>
        <v>0</v>
      </c>
      <c r="BJ98" s="169">
        <f>IF(CdTrp1!P52=1,3,IF(CdTrp1!P52=0.5,2,IF(CdTrp1!P52=0,1,0)))</f>
        <v>0</v>
      </c>
      <c r="BK98" s="169">
        <f>IF(CdTrp1!Q52=1,3,IF(CdTrp1!Q52=0.5,2,IF(CdTrp1!Q52=0,1,0)))</f>
        <v>0</v>
      </c>
      <c r="BL98" s="169">
        <f>IF(CdTrp1!R52=1,3,IF(CdTrp1!R52=0.5,2,IF(CdTrp1!R52=0,1,0)))</f>
        <v>0</v>
      </c>
      <c r="BM98" s="169">
        <f>IF(CdTrp1!S52=1,3,IF(CdTrp1!S52=0.5,2,IF(CdTrp1!S52=0,1,0)))</f>
        <v>0</v>
      </c>
      <c r="BN98" s="169">
        <f>IF(CdTrp1!T52=1,3,IF(CdTrp1!T52=0.5,2,IF(CdTrp1!T52=0,1,0)))</f>
        <v>0</v>
      </c>
      <c r="BO98" s="169">
        <f>IF(CdTrp1!U52=1,3,IF(CdTrp1!U52=0.5,2,IF(CdTrp1!U52=0,1,0)))</f>
        <v>0</v>
      </c>
      <c r="BP98" s="169">
        <f>IF(CdTrp1!V52=1,3,IF(CdTrp1!V52=0.5,2,IF(CdTrp1!V52=0,1,0)))</f>
        <v>0</v>
      </c>
      <c r="BQ98" s="169">
        <f>IF(CdTrp1!W52=1,3,IF(CdTrp1!W52=0.5,2,IF(CdTrp1!W52=0,1,0)))</f>
        <v>0</v>
      </c>
      <c r="BR98" s="169">
        <f>IF(CdTrp1!X52=1,3,IF(CdTrp1!X52=0.5,2,IF(CdTrp1!X52=0,1,0)))</f>
        <v>0</v>
      </c>
      <c r="BS98" s="169">
        <f>IF(CdTrp1!Y52=1,3,IF(CdTrp1!Y52=0.5,2,IF(CdTrp1!Y52=0,1,0)))</f>
        <v>0</v>
      </c>
      <c r="BU98">
        <v>3</v>
      </c>
      <c r="BV98" t="s">
        <v>799</v>
      </c>
      <c r="BZ98" s="183" t="str">
        <f t="shared" ref="BZ98:BZ107" si="23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4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1223</v>
      </c>
      <c r="B99" s="14" t="s">
        <v>1224</v>
      </c>
      <c r="C99" s="169">
        <f>MAX(H130:AE130)</f>
        <v>0</v>
      </c>
      <c r="D99" s="169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7" t="str">
        <f>CdTrp1!$A53</f>
        <v xml:space="preserve">Vaches lot principal 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3</v>
      </c>
      <c r="BC99" s="169">
        <f>IF(CdTrp1!I53=1,3,IF(CdTrp1!I53=0.5,2,IF(CdTrp1!I53=0,1,0)))</f>
        <v>3</v>
      </c>
      <c r="BD99" s="169">
        <f>IF(CdTrp1!J53=1,3,IF(CdTrp1!J53=0.5,2,IF(CdTrp1!J53=0,1,0)))</f>
        <v>3</v>
      </c>
      <c r="BE99" s="169">
        <f>IF(CdTrp1!K53=1,3,IF(CdTrp1!K53=0.5,2,IF(CdTrp1!K53=0,1,0)))</f>
        <v>3</v>
      </c>
      <c r="BF99" s="169">
        <f>IF(CdTrp1!L53=1,3,IF(CdTrp1!L53=0.5,2,IF(CdTrp1!L53=0,1,0)))</f>
        <v>3</v>
      </c>
      <c r="BG99" s="169">
        <f>IF(CdTrp1!M53=1,3,IF(CdTrp1!M53=0.5,2,IF(CdTrp1!M53=0,1,0)))</f>
        <v>3</v>
      </c>
      <c r="BH99" s="169">
        <f>IF(CdTrp1!N53=1,3,IF(CdTrp1!N53=0.5,2,IF(CdTrp1!N53=0,1,0)))</f>
        <v>3</v>
      </c>
      <c r="BI99" s="169">
        <f>IF(CdTrp1!O53=1,3,IF(CdTrp1!O53=0.5,2,IF(CdTrp1!O53=0,1,0)))</f>
        <v>3</v>
      </c>
      <c r="BJ99" s="169">
        <f>IF(CdTrp1!P53=1,3,IF(CdTrp1!P53=0.5,2,IF(CdTrp1!P53=0,1,0)))</f>
        <v>3</v>
      </c>
      <c r="BK99" s="169">
        <f>IF(CdTrp1!Q53=1,3,IF(CdTrp1!Q53=0.5,2,IF(CdTrp1!Q53=0,1,0)))</f>
        <v>3</v>
      </c>
      <c r="BL99" s="169">
        <f>IF(CdTrp1!R53=1,3,IF(CdTrp1!R53=0.5,2,IF(CdTrp1!R53=0,1,0)))</f>
        <v>3</v>
      </c>
      <c r="BM99" s="169">
        <f>IF(CdTrp1!S53=1,3,IF(CdTrp1!S53=0.5,2,IF(CdTrp1!S53=0,1,0)))</f>
        <v>3</v>
      </c>
      <c r="BN99" s="169">
        <f>IF(CdTrp1!T53=1,3,IF(CdTrp1!T53=0.5,2,IF(CdTrp1!T53=0,1,0)))</f>
        <v>3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803</v>
      </c>
      <c r="BZ99" s="183" t="str">
        <f t="shared" si="23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4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1225</v>
      </c>
      <c r="B100" s="14" t="s">
        <v>1226</v>
      </c>
      <c r="C100" s="169">
        <f>MAX(H131:AE131)</f>
        <v>0</v>
      </c>
      <c r="D100" s="169">
        <f t="shared" si="25"/>
        <v>0</v>
      </c>
      <c r="F100" s="14"/>
      <c r="G100" s="25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7" t="str">
        <f>CdTrp1!$A54</f>
        <v>Génisses renouvellement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3</v>
      </c>
      <c r="BF100" s="169">
        <f>IF(CdTrp1!L54=1,3,IF(CdTrp1!L54=0.5,2,IF(CdTrp1!L54=0,1,0)))</f>
        <v>3</v>
      </c>
      <c r="BG100" s="169">
        <f>IF(CdTrp1!M54=1,3,IF(CdTrp1!M54=0.5,2,IF(CdTrp1!M54=0,1,0)))</f>
        <v>3</v>
      </c>
      <c r="BH100" s="169">
        <f>IF(CdTrp1!N54=1,3,IF(CdTrp1!N54=0.5,2,IF(CdTrp1!N54=0,1,0)))</f>
        <v>3</v>
      </c>
      <c r="BI100" s="169">
        <f>IF(CdTrp1!O54=1,3,IF(CdTrp1!O54=0.5,2,IF(CdTrp1!O54=0,1,0)))</f>
        <v>3</v>
      </c>
      <c r="BJ100" s="169">
        <f>IF(CdTrp1!P54=1,3,IF(CdTrp1!P54=0.5,2,IF(CdTrp1!P54=0,1,0)))</f>
        <v>3</v>
      </c>
      <c r="BK100" s="169">
        <f>IF(CdTrp1!Q54=1,3,IF(CdTrp1!Q54=0.5,2,IF(CdTrp1!Q54=0,1,0)))</f>
        <v>3</v>
      </c>
      <c r="BL100" s="169">
        <f>IF(CdTrp1!R54=1,3,IF(CdTrp1!R54=0.5,2,IF(CdTrp1!R54=0,1,0)))</f>
        <v>3</v>
      </c>
      <c r="BM100" s="169">
        <f>IF(CdTrp1!S54=1,3,IF(CdTrp1!S54=0.5,2,IF(CdTrp1!S54=0,1,0)))</f>
        <v>3</v>
      </c>
      <c r="BN100" s="169">
        <f>IF(CdTrp1!T54=1,3,IF(CdTrp1!T54=0.5,2,IF(CdTrp1!T54=0,1,0)))</f>
        <v>3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804</v>
      </c>
      <c r="BZ100" s="183" t="str">
        <f t="shared" si="23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4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1227</v>
      </c>
      <c r="C101" s="169">
        <f>MAX(H132:AE132)</f>
        <v>0</v>
      </c>
      <c r="D101" s="169">
        <f t="shared" si="25"/>
        <v>0</v>
      </c>
      <c r="F101" s="14"/>
      <c r="G101" s="25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génisses 2/3 ans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3</v>
      </c>
      <c r="BB101" s="169">
        <f>IF(CdTrp1!H55=1,3,IF(CdTrp1!H55=0.5,2,IF(CdTrp1!H55=0,1,0)))</f>
        <v>3</v>
      </c>
      <c r="BC101" s="169">
        <f>IF(CdTrp1!I55=1,3,IF(CdTrp1!I55=0.5,2,IF(CdTrp1!I55=0,1,0)))</f>
        <v>3</v>
      </c>
      <c r="BD101" s="169">
        <f>IF(CdTrp1!J55=1,3,IF(CdTrp1!J55=0.5,2,IF(CdTrp1!J55=0,1,0)))</f>
        <v>3</v>
      </c>
      <c r="BE101" s="169">
        <f>IF(CdTrp1!K55=1,3,IF(CdTrp1!K55=0.5,2,IF(CdTrp1!K55=0,1,0)))</f>
        <v>3</v>
      </c>
      <c r="BF101" s="169">
        <f>IF(CdTrp1!L55=1,3,IF(CdTrp1!L55=0.5,2,IF(CdTrp1!L55=0,1,0)))</f>
        <v>3</v>
      </c>
      <c r="BG101" s="169">
        <f>IF(CdTrp1!M55=1,3,IF(CdTrp1!M55=0.5,2,IF(CdTrp1!M55=0,1,0)))</f>
        <v>3</v>
      </c>
      <c r="BH101" s="169">
        <f>IF(CdTrp1!N55=1,3,IF(CdTrp1!N55=0.5,2,IF(CdTrp1!N55=0,1,0)))</f>
        <v>3</v>
      </c>
      <c r="BI101" s="169">
        <f>IF(CdTrp1!O55=1,3,IF(CdTrp1!O55=0.5,2,IF(CdTrp1!O55=0,1,0)))</f>
        <v>3</v>
      </c>
      <c r="BJ101" s="169">
        <f>IF(CdTrp1!P55=1,3,IF(CdTrp1!P55=0.5,2,IF(CdTrp1!P55=0,1,0)))</f>
        <v>3</v>
      </c>
      <c r="BK101" s="169">
        <f>IF(CdTrp1!Q55=1,3,IF(CdTrp1!Q55=0.5,2,IF(CdTrp1!Q55=0,1,0)))</f>
        <v>3</v>
      </c>
      <c r="BL101" s="169">
        <f>IF(CdTrp1!R55=1,3,IF(CdTrp1!R55=0.5,2,IF(CdTrp1!R55=0,1,0)))</f>
        <v>3</v>
      </c>
      <c r="BM101" s="169">
        <f>IF(CdTrp1!S55=1,3,IF(CdTrp1!S55=0.5,2,IF(CdTrp1!S55=0,1,0)))</f>
        <v>3</v>
      </c>
      <c r="BN101" s="169">
        <f>IF(CdTrp1!T55=1,3,IF(CdTrp1!T55=0.5,2,IF(CdTrp1!T55=0,1,0)))</f>
        <v>3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3" t="str">
        <f t="shared" si="23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4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1228</v>
      </c>
      <c r="C102" s="169">
        <f>(24-COUNTIF(H129:AE129,0))/2</f>
        <v>0</v>
      </c>
      <c r="D102" s="169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7" t="str">
        <f>CdTrp1!$A56</f>
        <v>tardive</v>
      </c>
      <c r="AU102" s="32"/>
      <c r="AV102" s="169">
        <f>IF(CdTrp1!B56=1,3,IF(CdTrp1!B56=0.5,2,IF(CdTrp1!B56=0,1,0)))</f>
        <v>3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0</v>
      </c>
      <c r="BH102" s="169">
        <f>IF(CdTrp1!N56=1,3,IF(CdTrp1!N56=0.5,2,IF(CdTrp1!N56=0,1,0)))</f>
        <v>0</v>
      </c>
      <c r="BI102" s="169">
        <f>IF(CdTrp1!O56=1,3,IF(CdTrp1!O56=0.5,2,IF(CdTrp1!O56=0,1,0)))</f>
        <v>0</v>
      </c>
      <c r="BJ102" s="169">
        <f>IF(CdTrp1!P56=1,3,IF(CdTrp1!P56=0.5,2,IF(CdTrp1!P56=0,1,0)))</f>
        <v>0</v>
      </c>
      <c r="BK102" s="169">
        <f>IF(CdTrp1!Q56=1,3,IF(CdTrp1!Q56=0.5,2,IF(CdTrp1!Q56=0,1,0)))</f>
        <v>0</v>
      </c>
      <c r="BL102" s="169">
        <f>IF(CdTrp1!R56=1,3,IF(CdTrp1!R56=0.5,2,IF(CdTrp1!R56=0,1,0)))</f>
        <v>3</v>
      </c>
      <c r="BM102" s="169">
        <f>IF(CdTrp1!S56=1,3,IF(CdTrp1!S56=0.5,2,IF(CdTrp1!S56=0,1,0)))</f>
        <v>3</v>
      </c>
      <c r="BN102" s="169">
        <f>IF(CdTrp1!T56=1,3,IF(CdTrp1!T56=0.5,2,IF(CdTrp1!T56=0,1,0)))</f>
        <v>3</v>
      </c>
      <c r="BO102" s="169">
        <f>IF(CdTrp1!U56=1,3,IF(CdTrp1!U56=0.5,2,IF(CdTrp1!U56=0,1,0)))</f>
        <v>3</v>
      </c>
      <c r="BP102" s="169">
        <f>IF(CdTrp1!V56=1,3,IF(CdTrp1!V56=0.5,2,IF(CdTrp1!V56=0,1,0)))</f>
        <v>3</v>
      </c>
      <c r="BQ102" s="169">
        <f>IF(CdTrp1!W56=1,3,IF(CdTrp1!W56=0.5,2,IF(CdTrp1!W56=0,1,0)))</f>
        <v>3</v>
      </c>
      <c r="BR102" s="169">
        <f>IF(CdTrp1!X56=1,3,IF(CdTrp1!X56=0.5,2,IF(CdTrp1!X56=0,1,0)))</f>
        <v>3</v>
      </c>
      <c r="BS102" s="169">
        <f>IF(CdTrp1!Y56=1,3,IF(CdTrp1!Y56=0.5,2,IF(CdTrp1!Y56=0,1,0)))</f>
        <v>3</v>
      </c>
      <c r="BZ102" s="183" t="str">
        <f t="shared" si="23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4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1229</v>
      </c>
      <c r="C103" s="169">
        <f>(24-COUNTIF(H130:AE130,0))/2</f>
        <v>0</v>
      </c>
      <c r="D103" s="169">
        <f t="shared" si="25"/>
        <v>0</v>
      </c>
      <c r="F103" s="14"/>
      <c r="G103" s="25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3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4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1230</v>
      </c>
      <c r="C104" s="169">
        <f>(24-COUNTIF(H131:AE131,0))/2</f>
        <v>0</v>
      </c>
      <c r="D104" s="169">
        <f t="shared" si="25"/>
        <v>0</v>
      </c>
      <c r="F104" s="14" t="s">
        <v>933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7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3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4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1231</v>
      </c>
      <c r="C105" s="169">
        <f>(24-COUNTIF(H132:AE132,0))/2</f>
        <v>0</v>
      </c>
      <c r="D105" s="169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7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3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4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1232</v>
      </c>
      <c r="C106" s="169">
        <f>SUM(H129:AE129)/2</f>
        <v>0</v>
      </c>
      <c r="D106" s="169">
        <f t="shared" si="25"/>
        <v>0</v>
      </c>
      <c r="F106" s="14"/>
      <c r="G106" s="256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3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4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1233</v>
      </c>
      <c r="C107" s="169">
        <f>SUM(H130:AE130)/2</f>
        <v>0</v>
      </c>
      <c r="D107" s="169">
        <f t="shared" si="25"/>
        <v>0</v>
      </c>
      <c r="F107" s="14"/>
      <c r="G107" s="256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7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3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4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1234</v>
      </c>
      <c r="C108" s="169">
        <f>SUM(H131:AE131)/2</f>
        <v>0</v>
      </c>
      <c r="D108" s="169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806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806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1235</v>
      </c>
      <c r="C109" s="169">
        <f>SUM(H132:AE132)/2</f>
        <v>0</v>
      </c>
      <c r="D109" s="169">
        <f t="shared" si="25"/>
        <v>0</v>
      </c>
      <c r="F109" s="14"/>
      <c r="G109" s="25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suitées au pâturage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0</v>
      </c>
      <c r="BC109" s="169">
        <f>IF(CdTrp1!I76=1,1,IF(CdTrp1!I76=2,2,IF(CdTrp1!I76=3,2,IF(CdTrp1!I76=4,4,0))))</f>
        <v>0</v>
      </c>
      <c r="BD109" s="169">
        <f>IF(CdTrp1!J76=1,1,IF(CdTrp1!J76=2,2,IF(CdTrp1!J76=3,2,IF(CdTrp1!J76=4,4,0))))</f>
        <v>0</v>
      </c>
      <c r="BE109" s="169">
        <f>IF(CdTrp1!K76=1,1,IF(CdTrp1!K76=2,2,IF(CdTrp1!K76=3,2,IF(CdTrp1!K76=4,4,0))))</f>
        <v>0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217</v>
      </c>
      <c r="BZ109" s="183" t="str">
        <f t="shared" ref="BZ109:BZ116" si="26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27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1236</v>
      </c>
      <c r="C110" s="169">
        <f>COUNTIF($H$94:$AE$103,1)/2</f>
        <v>0</v>
      </c>
      <c r="D110" s="169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28">AT99</f>
        <v xml:space="preserve">Vaches lot principal 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0</v>
      </c>
      <c r="BB110" s="169">
        <f>IF(CdTrp1!H77=1,1,IF(CdTrp1!H77=2,2,IF(CdTrp1!H77=3,2,IF(CdTrp1!H77=4,4,0))))</f>
        <v>0</v>
      </c>
      <c r="BC110" s="169">
        <f>IF(CdTrp1!I77=1,1,IF(CdTrp1!I77=2,2,IF(CdTrp1!I77=3,2,IF(CdTrp1!I77=4,4,0))))</f>
        <v>0</v>
      </c>
      <c r="BD110" s="169">
        <f>IF(CdTrp1!J77=1,1,IF(CdTrp1!J77=2,2,IF(CdTrp1!J77=3,2,IF(CdTrp1!J77=4,4,0))))</f>
        <v>0</v>
      </c>
      <c r="BE110" s="169">
        <f>IF(CdTrp1!K77=1,1,IF(CdTrp1!K77=2,2,IF(CdTrp1!K77=3,2,IF(CdTrp1!K77=4,4,0))))</f>
        <v>0</v>
      </c>
      <c r="BF110" s="169">
        <f>IF(CdTrp1!L77=1,1,IF(CdTrp1!L77=2,2,IF(CdTrp1!L77=3,2,IF(CdTrp1!L77=4,4,0))))</f>
        <v>0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0</v>
      </c>
      <c r="BN110" s="169">
        <f>IF(CdTrp1!T77=1,1,IF(CdTrp1!T77=2,2,IF(CdTrp1!T77=3,2,IF(CdTrp1!T77=4,4,0))))</f>
        <v>0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810</v>
      </c>
      <c r="BY110" s="17"/>
      <c r="BZ110" s="183" t="str">
        <f t="shared" si="26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27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1237</v>
      </c>
      <c r="C111" s="169">
        <f>COUNTIF($H$105:$AE$114,1)/2</f>
        <v>0</v>
      </c>
      <c r="D111" s="169">
        <f t="shared" si="25"/>
        <v>0</v>
      </c>
      <c r="F111" s="14"/>
      <c r="G111" s="25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28"/>
        <v>Génisses renouvellement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812</v>
      </c>
      <c r="BZ111" s="183" t="str">
        <f t="shared" si="26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27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1238</v>
      </c>
      <c r="C112" s="169">
        <f>COUNTIF($H$116:$AE$125,1)/2</f>
        <v>0</v>
      </c>
      <c r="D112" s="169">
        <f t="shared" si="25"/>
        <v>0</v>
      </c>
      <c r="F112" s="14"/>
      <c r="G112" s="25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28"/>
        <v>génisses 2/3 ans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814</v>
      </c>
      <c r="BZ112" s="183" t="str">
        <f t="shared" si="26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27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1239</v>
      </c>
      <c r="C113" s="169">
        <f>COUNTIF($H$94:$AE$103,2)/2</f>
        <v>0</v>
      </c>
      <c r="D113" s="169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28"/>
        <v>tardive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6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27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1240</v>
      </c>
      <c r="C114" s="169">
        <f>COUNTIF($H$105:$AE$114,2)/2</f>
        <v>0</v>
      </c>
      <c r="D114" s="169">
        <f t="shared" si="25"/>
        <v>0</v>
      </c>
      <c r="F114" s="14"/>
      <c r="G114" s="25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28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6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27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1241</v>
      </c>
      <c r="C115" s="169">
        <f>COUNTIF($H$116:$AE$125,2)/2</f>
        <v>0</v>
      </c>
      <c r="D115" s="169">
        <f t="shared" si="25"/>
        <v>0</v>
      </c>
      <c r="F115" s="14" t="s">
        <v>934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28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6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27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1242</v>
      </c>
      <c r="C116" s="169">
        <f>COUNTIF($H$94:$AE$103,3)/2</f>
        <v>0</v>
      </c>
      <c r="D116" s="169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28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6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27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1243</v>
      </c>
      <c r="C117" s="169">
        <f>COUNTIF($H$105:$AE$114,3)/2</f>
        <v>0</v>
      </c>
      <c r="D117" s="169">
        <f t="shared" si="25"/>
        <v>0</v>
      </c>
      <c r="G117" s="25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28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29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0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1244</v>
      </c>
      <c r="C118" s="169">
        <f>COUNTIF($H$116:$AE$125,3)/2</f>
        <v>0</v>
      </c>
      <c r="D118" s="169">
        <f t="shared" si="25"/>
        <v>0</v>
      </c>
      <c r="G118" s="25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28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29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0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1245</v>
      </c>
      <c r="C119" s="169">
        <f>COUNTIF($H$94:$AE$103,4)/2</f>
        <v>0</v>
      </c>
      <c r="D119" s="169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822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822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1246</v>
      </c>
      <c r="C120" s="169">
        <f>COUNTIF($H$105:$AE$114,4)/2</f>
        <v>0</v>
      </c>
      <c r="D120" s="169">
        <f t="shared" si="25"/>
        <v>0</v>
      </c>
      <c r="G120" s="25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824</v>
      </c>
      <c r="AU120" s="30">
        <f>VALUE(CONCATENATE(Scénario!K8,Travail!AU2))</f>
        <v>12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824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824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1247</v>
      </c>
      <c r="C121" s="169">
        <f>COUNTIF($H$116:$AE$125,4)/2</f>
        <v>0</v>
      </c>
      <c r="D121" s="169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suitées au pâturage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826</v>
      </c>
      <c r="BZ121" s="183" t="str">
        <f t="shared" ref="BZ121:BZ130" si="31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2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1248</v>
      </c>
      <c r="C122" s="169">
        <f>COUNTIF($H$94:$AE$103,5)/2</f>
        <v>0</v>
      </c>
      <c r="D122" s="169">
        <f t="shared" si="25"/>
        <v>0</v>
      </c>
      <c r="G122" s="25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 xml:space="preserve">Vaches lot principal 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1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2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1249</v>
      </c>
      <c r="C123" s="169">
        <f>COUNTIF($H$105:$AE$114,5)/2</f>
        <v>0</v>
      </c>
      <c r="D123" s="169">
        <f t="shared" si="25"/>
        <v>0</v>
      </c>
      <c r="G123" s="25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renouvellement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1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2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1250</v>
      </c>
      <c r="C124" s="169">
        <f>COUNTIF($H$116:$AE$125,5)/2</f>
        <v>0</v>
      </c>
      <c r="D124" s="169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3">+AT112</f>
        <v>génisses 2/3 ans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1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2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1251</v>
      </c>
      <c r="C125" s="169">
        <f t="shared" ref="C125:C132" si="34">SUM(H134:AE134)/2</f>
        <v>0</v>
      </c>
      <c r="D125" s="169">
        <f t="shared" si="25"/>
        <v>0</v>
      </c>
      <c r="G125" s="25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3"/>
        <v>tardive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1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2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1252</v>
      </c>
      <c r="C126" s="169">
        <f t="shared" si="34"/>
        <v>0</v>
      </c>
      <c r="D126" s="169">
        <f t="shared" si="25"/>
        <v>0</v>
      </c>
      <c r="AT126" s="183" t="str">
        <f t="shared" si="33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1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2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1253</v>
      </c>
      <c r="C127" s="169">
        <f t="shared" si="34"/>
        <v>0</v>
      </c>
      <c r="D127" s="169">
        <f t="shared" si="25"/>
        <v>0</v>
      </c>
      <c r="AT127" s="183" t="str">
        <f t="shared" si="33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1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2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1254</v>
      </c>
      <c r="C128" s="169">
        <f t="shared" si="34"/>
        <v>0</v>
      </c>
      <c r="D128" s="169">
        <f t="shared" si="25"/>
        <v>0</v>
      </c>
      <c r="F128" s="14" t="s">
        <v>1255</v>
      </c>
      <c r="AT128" s="183" t="str">
        <f t="shared" si="33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1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2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1256</v>
      </c>
      <c r="C129" s="169">
        <f t="shared" si="34"/>
        <v>0</v>
      </c>
      <c r="D129" s="169">
        <f t="shared" si="25"/>
        <v>0</v>
      </c>
      <c r="F129" s="14" t="s">
        <v>917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3" t="str">
        <f t="shared" si="33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1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2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1257</v>
      </c>
      <c r="C130" s="169">
        <f t="shared" si="34"/>
        <v>0</v>
      </c>
      <c r="D130" s="169">
        <f t="shared" si="25"/>
        <v>0</v>
      </c>
      <c r="F130" s="14" t="s">
        <v>933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3" t="str">
        <f t="shared" si="33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1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2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1258</v>
      </c>
      <c r="C131" s="169">
        <f t="shared" si="34"/>
        <v>0</v>
      </c>
      <c r="D131" s="169">
        <f t="shared" si="25"/>
        <v>0</v>
      </c>
      <c r="F131" s="14" t="s">
        <v>934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1259</v>
      </c>
      <c r="C132" s="169">
        <f t="shared" si="34"/>
        <v>0</v>
      </c>
      <c r="D132" s="169">
        <f t="shared" si="25"/>
        <v>0</v>
      </c>
      <c r="F132" s="14" t="s">
        <v>1260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3" t="str">
        <f>AT121</f>
        <v>Vaches suitées au pâturage</v>
      </c>
      <c r="AV132" s="169">
        <f t="shared" ref="AV132:BS139" si="39">IF(AV75=0,0,VALUE(CONCATENATE(AV87,AV98)))</f>
        <v>0</v>
      </c>
      <c r="AW132" s="169">
        <f t="shared" si="39"/>
        <v>0</v>
      </c>
      <c r="AX132" s="169">
        <f t="shared" si="39"/>
        <v>0</v>
      </c>
      <c r="AY132" s="169">
        <f t="shared" si="39"/>
        <v>0</v>
      </c>
      <c r="AZ132" s="169">
        <f t="shared" si="39"/>
        <v>0</v>
      </c>
      <c r="BA132" s="169">
        <f t="shared" si="39"/>
        <v>0</v>
      </c>
      <c r="BB132" s="169">
        <f t="shared" si="39"/>
        <v>0</v>
      </c>
      <c r="BC132" s="169">
        <f t="shared" si="39"/>
        <v>0</v>
      </c>
      <c r="BD132" s="169">
        <f t="shared" si="39"/>
        <v>0</v>
      </c>
      <c r="BE132" s="169">
        <f t="shared" si="39"/>
        <v>0</v>
      </c>
      <c r="BF132" s="169">
        <f t="shared" si="39"/>
        <v>0</v>
      </c>
      <c r="BG132" s="169">
        <f t="shared" si="39"/>
        <v>0</v>
      </c>
      <c r="BH132" s="169">
        <f t="shared" si="39"/>
        <v>0</v>
      </c>
      <c r="BI132" s="169">
        <f t="shared" si="39"/>
        <v>0</v>
      </c>
      <c r="BJ132" s="169">
        <f t="shared" si="39"/>
        <v>0</v>
      </c>
      <c r="BK132" s="169">
        <f t="shared" si="39"/>
        <v>0</v>
      </c>
      <c r="BL132" s="169">
        <f t="shared" si="39"/>
        <v>0</v>
      </c>
      <c r="BM132" s="169">
        <f t="shared" si="39"/>
        <v>0</v>
      </c>
      <c r="BN132" s="169">
        <f t="shared" si="39"/>
        <v>0</v>
      </c>
      <c r="BO132" s="169">
        <f t="shared" si="39"/>
        <v>0</v>
      </c>
      <c r="BP132" s="169">
        <f t="shared" si="39"/>
        <v>0</v>
      </c>
      <c r="BQ132" s="169">
        <f t="shared" si="39"/>
        <v>0</v>
      </c>
      <c r="BR132" s="169">
        <f t="shared" si="39"/>
        <v>0</v>
      </c>
      <c r="BS132" s="169">
        <f t="shared" si="39"/>
        <v>0</v>
      </c>
      <c r="BZ132" s="183" t="str">
        <f>BZ121</f>
        <v>lot1</v>
      </c>
      <c r="CB132" s="169">
        <f t="shared" ref="CB132:CY139" si="40">IF(CB75=0,0,VALUE(CONCATENATE(CB87,CB98)))</f>
        <v>0</v>
      </c>
      <c r="CC132" s="169">
        <f t="shared" si="40"/>
        <v>0</v>
      </c>
      <c r="CD132" s="169">
        <f t="shared" si="40"/>
        <v>0</v>
      </c>
      <c r="CE132" s="169">
        <f t="shared" si="40"/>
        <v>0</v>
      </c>
      <c r="CF132" s="169">
        <f t="shared" si="40"/>
        <v>0</v>
      </c>
      <c r="CG132" s="169">
        <f t="shared" si="40"/>
        <v>0</v>
      </c>
      <c r="CH132" s="169">
        <f t="shared" si="40"/>
        <v>0</v>
      </c>
      <c r="CI132" s="169">
        <f t="shared" si="40"/>
        <v>0</v>
      </c>
      <c r="CJ132" s="169">
        <f t="shared" si="40"/>
        <v>0</v>
      </c>
      <c r="CK132" s="169">
        <f t="shared" si="40"/>
        <v>0</v>
      </c>
      <c r="CL132" s="169">
        <f t="shared" si="40"/>
        <v>0</v>
      </c>
      <c r="CM132" s="169">
        <f t="shared" si="40"/>
        <v>0</v>
      </c>
      <c r="CN132" s="169">
        <f t="shared" si="40"/>
        <v>0</v>
      </c>
      <c r="CO132" s="169">
        <f t="shared" si="40"/>
        <v>0</v>
      </c>
      <c r="CP132" s="169">
        <f t="shared" si="40"/>
        <v>0</v>
      </c>
      <c r="CQ132" s="169">
        <f t="shared" si="40"/>
        <v>0</v>
      </c>
      <c r="CR132" s="169">
        <f t="shared" si="40"/>
        <v>0</v>
      </c>
      <c r="CS132" s="169">
        <f t="shared" si="40"/>
        <v>0</v>
      </c>
      <c r="CT132" s="169">
        <f t="shared" si="40"/>
        <v>0</v>
      </c>
      <c r="CU132" s="169">
        <f t="shared" si="40"/>
        <v>0</v>
      </c>
      <c r="CV132" s="169">
        <f t="shared" si="40"/>
        <v>0</v>
      </c>
      <c r="CW132" s="169">
        <f t="shared" si="40"/>
        <v>0</v>
      </c>
      <c r="CX132" s="169">
        <f t="shared" si="40"/>
        <v>0</v>
      </c>
      <c r="CY132" s="169">
        <f t="shared" si="40"/>
        <v>0</v>
      </c>
      <c r="DC132" s="183" t="str">
        <f>DC121</f>
        <v>lot1</v>
      </c>
      <c r="DE132" s="169">
        <f t="shared" ref="DE132:EB139" si="41">IF(DE75=0,0,VALUE(CONCATENATE(DE87,DE98)))</f>
        <v>0</v>
      </c>
      <c r="DF132" s="169">
        <f t="shared" si="41"/>
        <v>0</v>
      </c>
      <c r="DG132" s="169">
        <f t="shared" si="41"/>
        <v>0</v>
      </c>
      <c r="DH132" s="169">
        <f t="shared" si="41"/>
        <v>0</v>
      </c>
      <c r="DI132" s="169">
        <f t="shared" si="41"/>
        <v>0</v>
      </c>
      <c r="DJ132" s="169">
        <f t="shared" si="41"/>
        <v>0</v>
      </c>
      <c r="DK132" s="169">
        <f t="shared" si="41"/>
        <v>0</v>
      </c>
      <c r="DL132" s="169">
        <f t="shared" si="41"/>
        <v>0</v>
      </c>
      <c r="DM132" s="169">
        <f t="shared" si="41"/>
        <v>0</v>
      </c>
      <c r="DN132" s="169">
        <f t="shared" si="41"/>
        <v>0</v>
      </c>
      <c r="DO132" s="169">
        <f t="shared" si="41"/>
        <v>0</v>
      </c>
      <c r="DP132" s="169">
        <f t="shared" si="41"/>
        <v>0</v>
      </c>
      <c r="DQ132" s="169">
        <f t="shared" si="41"/>
        <v>0</v>
      </c>
      <c r="DR132" s="169">
        <f t="shared" si="41"/>
        <v>0</v>
      </c>
      <c r="DS132" s="169">
        <f t="shared" si="41"/>
        <v>0</v>
      </c>
      <c r="DT132" s="169">
        <f t="shared" si="41"/>
        <v>0</v>
      </c>
      <c r="DU132" s="169">
        <f t="shared" si="41"/>
        <v>0</v>
      </c>
      <c r="DV132" s="169">
        <f t="shared" si="41"/>
        <v>0</v>
      </c>
      <c r="DW132" s="169">
        <f t="shared" si="41"/>
        <v>0</v>
      </c>
      <c r="DX132" s="169">
        <f t="shared" si="41"/>
        <v>0</v>
      </c>
      <c r="DY132" s="169">
        <f t="shared" si="41"/>
        <v>0</v>
      </c>
      <c r="DZ132" s="169">
        <f t="shared" si="41"/>
        <v>0</v>
      </c>
      <c r="EA132" s="169">
        <f t="shared" si="41"/>
        <v>0</v>
      </c>
      <c r="EB132" s="169">
        <f t="shared" si="41"/>
        <v>0</v>
      </c>
    </row>
    <row r="133" spans="1:132" x14ac:dyDescent="0.25">
      <c r="B133" s="14" t="s">
        <v>1261</v>
      </c>
      <c r="C133" s="258">
        <f>IF(C110&gt;0,C110/(C110+C113+C116),0)</f>
        <v>0</v>
      </c>
      <c r="D133" s="258">
        <f t="shared" si="25"/>
        <v>0</v>
      </c>
      <c r="AT133" s="183" t="str">
        <f t="shared" ref="AT133:AT141" si="42">AT122</f>
        <v xml:space="preserve">Vaches lot principal </v>
      </c>
      <c r="AV133" s="169">
        <f t="shared" si="39"/>
        <v>0</v>
      </c>
      <c r="AW133" s="169">
        <f t="shared" si="39"/>
        <v>0</v>
      </c>
      <c r="AX133" s="169">
        <f t="shared" si="39"/>
        <v>0</v>
      </c>
      <c r="AY133" s="169">
        <f t="shared" si="39"/>
        <v>0</v>
      </c>
      <c r="AZ133" s="169">
        <f t="shared" si="39"/>
        <v>0</v>
      </c>
      <c r="BA133" s="169">
        <f t="shared" si="39"/>
        <v>0</v>
      </c>
      <c r="BB133" s="169">
        <f t="shared" si="39"/>
        <v>0</v>
      </c>
      <c r="BC133" s="169">
        <f t="shared" si="39"/>
        <v>0</v>
      </c>
      <c r="BD133" s="169">
        <f t="shared" si="39"/>
        <v>0</v>
      </c>
      <c r="BE133" s="169">
        <f t="shared" si="39"/>
        <v>0</v>
      </c>
      <c r="BF133" s="169">
        <f t="shared" si="39"/>
        <v>0</v>
      </c>
      <c r="BG133" s="169">
        <f t="shared" si="39"/>
        <v>0</v>
      </c>
      <c r="BH133" s="169">
        <f t="shared" si="39"/>
        <v>0</v>
      </c>
      <c r="BI133" s="169">
        <f t="shared" si="39"/>
        <v>0</v>
      </c>
      <c r="BJ133" s="169">
        <f t="shared" si="39"/>
        <v>0</v>
      </c>
      <c r="BK133" s="169">
        <f t="shared" si="39"/>
        <v>0</v>
      </c>
      <c r="BL133" s="169">
        <f t="shared" si="39"/>
        <v>0</v>
      </c>
      <c r="BM133" s="169">
        <f t="shared" si="39"/>
        <v>0</v>
      </c>
      <c r="BN133" s="169">
        <f t="shared" si="39"/>
        <v>0</v>
      </c>
      <c r="BO133" s="169">
        <f t="shared" si="39"/>
        <v>0</v>
      </c>
      <c r="BP133" s="169">
        <f t="shared" si="39"/>
        <v>0</v>
      </c>
      <c r="BQ133" s="169">
        <f t="shared" si="39"/>
        <v>0</v>
      </c>
      <c r="BR133" s="169">
        <f t="shared" si="39"/>
        <v>0</v>
      </c>
      <c r="BS133" s="169">
        <f t="shared" si="39"/>
        <v>0</v>
      </c>
      <c r="BZ133" s="183" t="str">
        <f t="shared" ref="BZ133:BZ141" si="43">BZ122</f>
        <v>lot2</v>
      </c>
      <c r="CB133" s="169">
        <f t="shared" si="40"/>
        <v>0</v>
      </c>
      <c r="CC133" s="169">
        <f t="shared" si="40"/>
        <v>0</v>
      </c>
      <c r="CD133" s="169">
        <f t="shared" si="40"/>
        <v>0</v>
      </c>
      <c r="CE133" s="169">
        <f t="shared" si="40"/>
        <v>0</v>
      </c>
      <c r="CF133" s="169">
        <f t="shared" si="40"/>
        <v>0</v>
      </c>
      <c r="CG133" s="169">
        <f t="shared" si="40"/>
        <v>0</v>
      </c>
      <c r="CH133" s="169">
        <f t="shared" si="40"/>
        <v>0</v>
      </c>
      <c r="CI133" s="169">
        <f t="shared" si="40"/>
        <v>0</v>
      </c>
      <c r="CJ133" s="169">
        <f t="shared" si="40"/>
        <v>0</v>
      </c>
      <c r="CK133" s="169">
        <f t="shared" si="40"/>
        <v>0</v>
      </c>
      <c r="CL133" s="169">
        <f t="shared" si="40"/>
        <v>0</v>
      </c>
      <c r="CM133" s="169">
        <f t="shared" si="40"/>
        <v>0</v>
      </c>
      <c r="CN133" s="169">
        <f t="shared" si="40"/>
        <v>0</v>
      </c>
      <c r="CO133" s="169">
        <f t="shared" si="40"/>
        <v>0</v>
      </c>
      <c r="CP133" s="169">
        <f t="shared" si="40"/>
        <v>0</v>
      </c>
      <c r="CQ133" s="169">
        <f t="shared" si="40"/>
        <v>0</v>
      </c>
      <c r="CR133" s="169">
        <f t="shared" si="40"/>
        <v>0</v>
      </c>
      <c r="CS133" s="169">
        <f t="shared" si="40"/>
        <v>0</v>
      </c>
      <c r="CT133" s="169">
        <f t="shared" si="40"/>
        <v>0</v>
      </c>
      <c r="CU133" s="169">
        <f t="shared" si="40"/>
        <v>0</v>
      </c>
      <c r="CV133" s="169">
        <f t="shared" si="40"/>
        <v>0</v>
      </c>
      <c r="CW133" s="169">
        <f t="shared" si="40"/>
        <v>0</v>
      </c>
      <c r="CX133" s="169">
        <f t="shared" si="40"/>
        <v>0</v>
      </c>
      <c r="CY133" s="169">
        <f t="shared" si="40"/>
        <v>0</v>
      </c>
      <c r="DC133" s="183" t="str">
        <f t="shared" ref="DC133:DC141" si="44">DC122</f>
        <v>lot2</v>
      </c>
      <c r="DE133" s="169">
        <f t="shared" si="41"/>
        <v>0</v>
      </c>
      <c r="DF133" s="169">
        <f t="shared" si="41"/>
        <v>0</v>
      </c>
      <c r="DG133" s="169">
        <f t="shared" si="41"/>
        <v>0</v>
      </c>
      <c r="DH133" s="169">
        <f t="shared" si="41"/>
        <v>0</v>
      </c>
      <c r="DI133" s="169">
        <f t="shared" si="41"/>
        <v>0</v>
      </c>
      <c r="DJ133" s="169">
        <f t="shared" si="41"/>
        <v>0</v>
      </c>
      <c r="DK133" s="169">
        <f t="shared" si="41"/>
        <v>0</v>
      </c>
      <c r="DL133" s="169">
        <f t="shared" si="41"/>
        <v>0</v>
      </c>
      <c r="DM133" s="169">
        <f t="shared" si="41"/>
        <v>0</v>
      </c>
      <c r="DN133" s="169">
        <f t="shared" si="41"/>
        <v>0</v>
      </c>
      <c r="DO133" s="169">
        <f t="shared" si="41"/>
        <v>0</v>
      </c>
      <c r="DP133" s="169">
        <f t="shared" si="41"/>
        <v>0</v>
      </c>
      <c r="DQ133" s="169">
        <f t="shared" si="41"/>
        <v>0</v>
      </c>
      <c r="DR133" s="169">
        <f t="shared" si="41"/>
        <v>0</v>
      </c>
      <c r="DS133" s="169">
        <f t="shared" si="41"/>
        <v>0</v>
      </c>
      <c r="DT133" s="169">
        <f t="shared" si="41"/>
        <v>0</v>
      </c>
      <c r="DU133" s="169">
        <f t="shared" si="41"/>
        <v>0</v>
      </c>
      <c r="DV133" s="169">
        <f t="shared" si="41"/>
        <v>0</v>
      </c>
      <c r="DW133" s="169">
        <f t="shared" si="41"/>
        <v>0</v>
      </c>
      <c r="DX133" s="169">
        <f t="shared" si="41"/>
        <v>0</v>
      </c>
      <c r="DY133" s="169">
        <f t="shared" si="41"/>
        <v>0</v>
      </c>
      <c r="DZ133" s="169">
        <f t="shared" si="41"/>
        <v>0</v>
      </c>
      <c r="EA133" s="169">
        <f t="shared" si="41"/>
        <v>0</v>
      </c>
      <c r="EB133" s="169">
        <f t="shared" si="41"/>
        <v>0</v>
      </c>
    </row>
    <row r="134" spans="1:132" x14ac:dyDescent="0.25">
      <c r="B134" s="14" t="s">
        <v>1262</v>
      </c>
      <c r="C134" s="258">
        <f t="shared" ref="C134:C135" si="45">IF(C111&gt;0,C111/(C111+C114+C117),0)</f>
        <v>0</v>
      </c>
      <c r="D134" s="258">
        <f t="shared" si="25"/>
        <v>0</v>
      </c>
      <c r="F134" s="14" t="s">
        <v>1263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3" t="str">
        <f t="shared" si="42"/>
        <v>Génisses renouvellement</v>
      </c>
      <c r="AV134" s="169">
        <f t="shared" si="39"/>
        <v>0</v>
      </c>
      <c r="AW134" s="169">
        <f t="shared" si="39"/>
        <v>0</v>
      </c>
      <c r="AX134" s="169">
        <f t="shared" si="39"/>
        <v>0</v>
      </c>
      <c r="AY134" s="169">
        <f t="shared" si="39"/>
        <v>0</v>
      </c>
      <c r="AZ134" s="169">
        <f t="shared" si="39"/>
        <v>0</v>
      </c>
      <c r="BA134" s="169">
        <f t="shared" si="39"/>
        <v>0</v>
      </c>
      <c r="BB134" s="169">
        <f t="shared" si="39"/>
        <v>0</v>
      </c>
      <c r="BC134" s="169">
        <f t="shared" si="39"/>
        <v>0</v>
      </c>
      <c r="BD134" s="169">
        <f t="shared" si="39"/>
        <v>0</v>
      </c>
      <c r="BE134" s="169">
        <f t="shared" si="39"/>
        <v>0</v>
      </c>
      <c r="BF134" s="169">
        <f t="shared" si="39"/>
        <v>0</v>
      </c>
      <c r="BG134" s="169">
        <f t="shared" si="39"/>
        <v>0</v>
      </c>
      <c r="BH134" s="169">
        <f t="shared" si="39"/>
        <v>0</v>
      </c>
      <c r="BI134" s="169">
        <f t="shared" si="39"/>
        <v>0</v>
      </c>
      <c r="BJ134" s="169">
        <f t="shared" si="39"/>
        <v>0</v>
      </c>
      <c r="BK134" s="169">
        <f t="shared" si="39"/>
        <v>0</v>
      </c>
      <c r="BL134" s="169">
        <f t="shared" si="39"/>
        <v>0</v>
      </c>
      <c r="BM134" s="169">
        <f t="shared" si="39"/>
        <v>0</v>
      </c>
      <c r="BN134" s="169">
        <f t="shared" si="39"/>
        <v>0</v>
      </c>
      <c r="BO134" s="169">
        <f t="shared" si="39"/>
        <v>0</v>
      </c>
      <c r="BP134" s="169">
        <f t="shared" si="39"/>
        <v>0</v>
      </c>
      <c r="BQ134" s="169">
        <f t="shared" si="39"/>
        <v>0</v>
      </c>
      <c r="BR134" s="169">
        <f t="shared" si="39"/>
        <v>0</v>
      </c>
      <c r="BS134" s="169">
        <f t="shared" si="39"/>
        <v>0</v>
      </c>
      <c r="BZ134" s="183" t="str">
        <f t="shared" si="43"/>
        <v>lot3</v>
      </c>
      <c r="CB134" s="169">
        <f t="shared" si="40"/>
        <v>0</v>
      </c>
      <c r="CC134" s="169">
        <f t="shared" si="40"/>
        <v>0</v>
      </c>
      <c r="CD134" s="169">
        <f t="shared" si="40"/>
        <v>0</v>
      </c>
      <c r="CE134" s="169">
        <f t="shared" si="40"/>
        <v>0</v>
      </c>
      <c r="CF134" s="169">
        <f t="shared" si="40"/>
        <v>0</v>
      </c>
      <c r="CG134" s="169">
        <f t="shared" si="40"/>
        <v>0</v>
      </c>
      <c r="CH134" s="169">
        <f t="shared" si="40"/>
        <v>0</v>
      </c>
      <c r="CI134" s="169">
        <f t="shared" si="40"/>
        <v>0</v>
      </c>
      <c r="CJ134" s="169">
        <f t="shared" si="40"/>
        <v>0</v>
      </c>
      <c r="CK134" s="169">
        <f t="shared" si="40"/>
        <v>0</v>
      </c>
      <c r="CL134" s="169">
        <f t="shared" si="40"/>
        <v>0</v>
      </c>
      <c r="CM134" s="169">
        <f t="shared" si="40"/>
        <v>0</v>
      </c>
      <c r="CN134" s="169">
        <f t="shared" si="40"/>
        <v>0</v>
      </c>
      <c r="CO134" s="169">
        <f t="shared" si="40"/>
        <v>0</v>
      </c>
      <c r="CP134" s="169">
        <f t="shared" si="40"/>
        <v>0</v>
      </c>
      <c r="CQ134" s="169">
        <f t="shared" si="40"/>
        <v>0</v>
      </c>
      <c r="CR134" s="169">
        <f t="shared" si="40"/>
        <v>0</v>
      </c>
      <c r="CS134" s="169">
        <f t="shared" si="40"/>
        <v>0</v>
      </c>
      <c r="CT134" s="169">
        <f t="shared" si="40"/>
        <v>0</v>
      </c>
      <c r="CU134" s="169">
        <f t="shared" si="40"/>
        <v>0</v>
      </c>
      <c r="CV134" s="169">
        <f t="shared" si="40"/>
        <v>0</v>
      </c>
      <c r="CW134" s="169">
        <f t="shared" si="40"/>
        <v>0</v>
      </c>
      <c r="CX134" s="169">
        <f t="shared" si="40"/>
        <v>0</v>
      </c>
      <c r="CY134" s="169">
        <f t="shared" si="40"/>
        <v>0</v>
      </c>
      <c r="DC134" s="183" t="str">
        <f t="shared" si="44"/>
        <v>lot3</v>
      </c>
      <c r="DE134" s="169">
        <f t="shared" si="41"/>
        <v>0</v>
      </c>
      <c r="DF134" s="169">
        <f t="shared" si="41"/>
        <v>0</v>
      </c>
      <c r="DG134" s="169">
        <f t="shared" si="41"/>
        <v>0</v>
      </c>
      <c r="DH134" s="169">
        <f t="shared" si="41"/>
        <v>0</v>
      </c>
      <c r="DI134" s="169">
        <f t="shared" si="41"/>
        <v>0</v>
      </c>
      <c r="DJ134" s="169">
        <f t="shared" si="41"/>
        <v>0</v>
      </c>
      <c r="DK134" s="169">
        <f t="shared" si="41"/>
        <v>0</v>
      </c>
      <c r="DL134" s="169">
        <f t="shared" si="41"/>
        <v>0</v>
      </c>
      <c r="DM134" s="169">
        <f t="shared" si="41"/>
        <v>0</v>
      </c>
      <c r="DN134" s="169">
        <f t="shared" si="41"/>
        <v>0</v>
      </c>
      <c r="DO134" s="169">
        <f t="shared" si="41"/>
        <v>0</v>
      </c>
      <c r="DP134" s="169">
        <f t="shared" si="41"/>
        <v>0</v>
      </c>
      <c r="DQ134" s="169">
        <f t="shared" si="41"/>
        <v>0</v>
      </c>
      <c r="DR134" s="169">
        <f t="shared" si="41"/>
        <v>0</v>
      </c>
      <c r="DS134" s="169">
        <f t="shared" si="41"/>
        <v>0</v>
      </c>
      <c r="DT134" s="169">
        <f t="shared" si="41"/>
        <v>0</v>
      </c>
      <c r="DU134" s="169">
        <f t="shared" si="41"/>
        <v>0</v>
      </c>
      <c r="DV134" s="169">
        <f t="shared" si="41"/>
        <v>0</v>
      </c>
      <c r="DW134" s="169">
        <f t="shared" si="41"/>
        <v>0</v>
      </c>
      <c r="DX134" s="169">
        <f t="shared" si="41"/>
        <v>0</v>
      </c>
      <c r="DY134" s="169">
        <f t="shared" si="41"/>
        <v>0</v>
      </c>
      <c r="DZ134" s="169">
        <f t="shared" si="41"/>
        <v>0</v>
      </c>
      <c r="EA134" s="169">
        <f t="shared" si="41"/>
        <v>0</v>
      </c>
      <c r="EB134" s="169">
        <f t="shared" si="41"/>
        <v>0</v>
      </c>
    </row>
    <row r="135" spans="1:132" x14ac:dyDescent="0.25">
      <c r="B135" s="14" t="s">
        <v>1264</v>
      </c>
      <c r="C135" s="258">
        <f t="shared" si="45"/>
        <v>0</v>
      </c>
      <c r="D135" s="258">
        <f t="shared" si="25"/>
        <v>0</v>
      </c>
      <c r="F135" s="14" t="s">
        <v>1265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3" t="str">
        <f t="shared" si="42"/>
        <v>génisses 2/3 ans</v>
      </c>
      <c r="AV135" s="169">
        <f t="shared" si="39"/>
        <v>0</v>
      </c>
      <c r="AW135" s="169">
        <f t="shared" si="39"/>
        <v>0</v>
      </c>
      <c r="AX135" s="169">
        <f t="shared" si="39"/>
        <v>0</v>
      </c>
      <c r="AY135" s="169">
        <f t="shared" si="39"/>
        <v>0</v>
      </c>
      <c r="AZ135" s="169">
        <f t="shared" si="39"/>
        <v>0</v>
      </c>
      <c r="BA135" s="169">
        <f t="shared" si="39"/>
        <v>0</v>
      </c>
      <c r="BB135" s="169">
        <f t="shared" si="39"/>
        <v>0</v>
      </c>
      <c r="BC135" s="169">
        <f t="shared" si="39"/>
        <v>0</v>
      </c>
      <c r="BD135" s="169">
        <f t="shared" si="39"/>
        <v>0</v>
      </c>
      <c r="BE135" s="169">
        <f t="shared" si="39"/>
        <v>0</v>
      </c>
      <c r="BF135" s="169">
        <f t="shared" si="39"/>
        <v>0</v>
      </c>
      <c r="BG135" s="169">
        <f t="shared" si="39"/>
        <v>0</v>
      </c>
      <c r="BH135" s="169">
        <f t="shared" si="39"/>
        <v>0</v>
      </c>
      <c r="BI135" s="169">
        <f t="shared" si="39"/>
        <v>0</v>
      </c>
      <c r="BJ135" s="169">
        <f t="shared" si="39"/>
        <v>0</v>
      </c>
      <c r="BK135" s="169">
        <f t="shared" si="39"/>
        <v>0</v>
      </c>
      <c r="BL135" s="169">
        <f t="shared" si="39"/>
        <v>0</v>
      </c>
      <c r="BM135" s="169">
        <f t="shared" si="39"/>
        <v>0</v>
      </c>
      <c r="BN135" s="169">
        <f t="shared" si="39"/>
        <v>0</v>
      </c>
      <c r="BO135" s="169">
        <f t="shared" si="39"/>
        <v>0</v>
      </c>
      <c r="BP135" s="169">
        <f t="shared" si="39"/>
        <v>0</v>
      </c>
      <c r="BQ135" s="169">
        <f t="shared" si="39"/>
        <v>0</v>
      </c>
      <c r="BR135" s="169">
        <f t="shared" si="39"/>
        <v>0</v>
      </c>
      <c r="BS135" s="169">
        <f t="shared" si="39"/>
        <v>0</v>
      </c>
      <c r="BZ135" s="183" t="str">
        <f t="shared" si="43"/>
        <v>lot4</v>
      </c>
      <c r="CB135" s="169">
        <f t="shared" si="40"/>
        <v>0</v>
      </c>
      <c r="CC135" s="169">
        <f t="shared" si="40"/>
        <v>0</v>
      </c>
      <c r="CD135" s="169">
        <f t="shared" si="40"/>
        <v>0</v>
      </c>
      <c r="CE135" s="169">
        <f t="shared" si="40"/>
        <v>0</v>
      </c>
      <c r="CF135" s="169">
        <f t="shared" si="40"/>
        <v>0</v>
      </c>
      <c r="CG135" s="169">
        <f t="shared" si="40"/>
        <v>0</v>
      </c>
      <c r="CH135" s="169">
        <f t="shared" si="40"/>
        <v>0</v>
      </c>
      <c r="CI135" s="169">
        <f t="shared" si="40"/>
        <v>0</v>
      </c>
      <c r="CJ135" s="169">
        <f t="shared" si="40"/>
        <v>0</v>
      </c>
      <c r="CK135" s="169">
        <f t="shared" si="40"/>
        <v>0</v>
      </c>
      <c r="CL135" s="169">
        <f t="shared" si="40"/>
        <v>0</v>
      </c>
      <c r="CM135" s="169">
        <f t="shared" si="40"/>
        <v>0</v>
      </c>
      <c r="CN135" s="169">
        <f t="shared" si="40"/>
        <v>0</v>
      </c>
      <c r="CO135" s="169">
        <f t="shared" si="40"/>
        <v>0</v>
      </c>
      <c r="CP135" s="169">
        <f t="shared" si="40"/>
        <v>0</v>
      </c>
      <c r="CQ135" s="169">
        <f t="shared" si="40"/>
        <v>0</v>
      </c>
      <c r="CR135" s="169">
        <f t="shared" si="40"/>
        <v>0</v>
      </c>
      <c r="CS135" s="169">
        <f t="shared" si="40"/>
        <v>0</v>
      </c>
      <c r="CT135" s="169">
        <f t="shared" si="40"/>
        <v>0</v>
      </c>
      <c r="CU135" s="169">
        <f t="shared" si="40"/>
        <v>0</v>
      </c>
      <c r="CV135" s="169">
        <f t="shared" si="40"/>
        <v>0</v>
      </c>
      <c r="CW135" s="169">
        <f t="shared" si="40"/>
        <v>0</v>
      </c>
      <c r="CX135" s="169">
        <f t="shared" si="40"/>
        <v>0</v>
      </c>
      <c r="CY135" s="169">
        <f t="shared" si="40"/>
        <v>0</v>
      </c>
      <c r="DC135" s="183" t="str">
        <f t="shared" si="44"/>
        <v>lot4</v>
      </c>
      <c r="DE135" s="169">
        <f t="shared" si="41"/>
        <v>0</v>
      </c>
      <c r="DF135" s="169">
        <f t="shared" si="41"/>
        <v>0</v>
      </c>
      <c r="DG135" s="169">
        <f t="shared" si="41"/>
        <v>0</v>
      </c>
      <c r="DH135" s="169">
        <f t="shared" si="41"/>
        <v>0</v>
      </c>
      <c r="DI135" s="169">
        <f t="shared" si="41"/>
        <v>0</v>
      </c>
      <c r="DJ135" s="169">
        <f t="shared" si="41"/>
        <v>0</v>
      </c>
      <c r="DK135" s="169">
        <f t="shared" si="41"/>
        <v>0</v>
      </c>
      <c r="DL135" s="169">
        <f t="shared" si="41"/>
        <v>0</v>
      </c>
      <c r="DM135" s="169">
        <f t="shared" si="41"/>
        <v>0</v>
      </c>
      <c r="DN135" s="169">
        <f t="shared" si="41"/>
        <v>0</v>
      </c>
      <c r="DO135" s="169">
        <f t="shared" si="41"/>
        <v>0</v>
      </c>
      <c r="DP135" s="169">
        <f t="shared" si="41"/>
        <v>0</v>
      </c>
      <c r="DQ135" s="169">
        <f t="shared" si="41"/>
        <v>0</v>
      </c>
      <c r="DR135" s="169">
        <f t="shared" si="41"/>
        <v>0</v>
      </c>
      <c r="DS135" s="169">
        <f t="shared" si="41"/>
        <v>0</v>
      </c>
      <c r="DT135" s="169">
        <f t="shared" si="41"/>
        <v>0</v>
      </c>
      <c r="DU135" s="169">
        <f t="shared" si="41"/>
        <v>0</v>
      </c>
      <c r="DV135" s="169">
        <f t="shared" si="41"/>
        <v>0</v>
      </c>
      <c r="DW135" s="169">
        <f t="shared" si="41"/>
        <v>0</v>
      </c>
      <c r="DX135" s="169">
        <f t="shared" si="41"/>
        <v>0</v>
      </c>
      <c r="DY135" s="169">
        <f t="shared" si="41"/>
        <v>0</v>
      </c>
      <c r="DZ135" s="169">
        <f t="shared" si="41"/>
        <v>0</v>
      </c>
      <c r="EA135" s="169">
        <f t="shared" si="41"/>
        <v>0</v>
      </c>
      <c r="EB135" s="169">
        <f t="shared" si="41"/>
        <v>0</v>
      </c>
    </row>
    <row r="136" spans="1:132" x14ac:dyDescent="0.25">
      <c r="B136" s="14" t="s">
        <v>1266</v>
      </c>
      <c r="C136" s="258" t="e">
        <f>SUM(C110:C112)/SUM(C110:C118)</f>
        <v>#DIV/0!</v>
      </c>
      <c r="D136" s="258" t="e">
        <f t="shared" si="25"/>
        <v>#DIV/0!</v>
      </c>
      <c r="F136" s="14" t="s">
        <v>1267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3" t="str">
        <f t="shared" si="42"/>
        <v>tardive</v>
      </c>
      <c r="AV136" s="169">
        <f t="shared" si="39"/>
        <v>0</v>
      </c>
      <c r="AW136" s="169">
        <f t="shared" si="39"/>
        <v>0</v>
      </c>
      <c r="AX136" s="169">
        <f t="shared" si="39"/>
        <v>0</v>
      </c>
      <c r="AY136" s="169">
        <f t="shared" si="39"/>
        <v>0</v>
      </c>
      <c r="AZ136" s="169">
        <f t="shared" si="39"/>
        <v>0</v>
      </c>
      <c r="BA136" s="169">
        <f t="shared" si="39"/>
        <v>0</v>
      </c>
      <c r="BB136" s="169">
        <f t="shared" si="39"/>
        <v>0</v>
      </c>
      <c r="BC136" s="169">
        <f t="shared" si="39"/>
        <v>0</v>
      </c>
      <c r="BD136" s="169">
        <f t="shared" si="39"/>
        <v>0</v>
      </c>
      <c r="BE136" s="169">
        <f t="shared" si="39"/>
        <v>0</v>
      </c>
      <c r="BF136" s="169">
        <f t="shared" si="39"/>
        <v>0</v>
      </c>
      <c r="BG136" s="169">
        <f t="shared" si="39"/>
        <v>0</v>
      </c>
      <c r="BH136" s="169">
        <f t="shared" si="39"/>
        <v>0</v>
      </c>
      <c r="BI136" s="169">
        <f t="shared" si="39"/>
        <v>0</v>
      </c>
      <c r="BJ136" s="169">
        <f t="shared" si="39"/>
        <v>0</v>
      </c>
      <c r="BK136" s="169">
        <f t="shared" si="39"/>
        <v>0</v>
      </c>
      <c r="BL136" s="169">
        <f t="shared" si="39"/>
        <v>0</v>
      </c>
      <c r="BM136" s="169">
        <f t="shared" si="39"/>
        <v>0</v>
      </c>
      <c r="BN136" s="169">
        <f t="shared" si="39"/>
        <v>0</v>
      </c>
      <c r="BO136" s="169">
        <f t="shared" si="39"/>
        <v>0</v>
      </c>
      <c r="BP136" s="169">
        <f t="shared" si="39"/>
        <v>0</v>
      </c>
      <c r="BQ136" s="169">
        <f t="shared" si="39"/>
        <v>0</v>
      </c>
      <c r="BR136" s="169">
        <f t="shared" si="39"/>
        <v>0</v>
      </c>
      <c r="BS136" s="169">
        <f t="shared" si="39"/>
        <v>0</v>
      </c>
      <c r="BZ136" s="183" t="str">
        <f t="shared" si="43"/>
        <v>lot5</v>
      </c>
      <c r="CB136" s="169">
        <f t="shared" si="40"/>
        <v>0</v>
      </c>
      <c r="CC136" s="169">
        <f t="shared" si="40"/>
        <v>0</v>
      </c>
      <c r="CD136" s="169">
        <f t="shared" si="40"/>
        <v>0</v>
      </c>
      <c r="CE136" s="169">
        <f t="shared" si="40"/>
        <v>0</v>
      </c>
      <c r="CF136" s="169">
        <f t="shared" si="40"/>
        <v>0</v>
      </c>
      <c r="CG136" s="169">
        <f t="shared" si="40"/>
        <v>0</v>
      </c>
      <c r="CH136" s="169">
        <f t="shared" si="40"/>
        <v>0</v>
      </c>
      <c r="CI136" s="169">
        <f t="shared" si="40"/>
        <v>0</v>
      </c>
      <c r="CJ136" s="169">
        <f t="shared" si="40"/>
        <v>0</v>
      </c>
      <c r="CK136" s="169">
        <f t="shared" si="40"/>
        <v>0</v>
      </c>
      <c r="CL136" s="169">
        <f t="shared" si="40"/>
        <v>0</v>
      </c>
      <c r="CM136" s="169">
        <f t="shared" si="40"/>
        <v>0</v>
      </c>
      <c r="CN136" s="169">
        <f t="shared" si="40"/>
        <v>0</v>
      </c>
      <c r="CO136" s="169">
        <f t="shared" si="40"/>
        <v>0</v>
      </c>
      <c r="CP136" s="169">
        <f t="shared" si="40"/>
        <v>0</v>
      </c>
      <c r="CQ136" s="169">
        <f t="shared" si="40"/>
        <v>0</v>
      </c>
      <c r="CR136" s="169">
        <f t="shared" si="40"/>
        <v>0</v>
      </c>
      <c r="CS136" s="169">
        <f t="shared" si="40"/>
        <v>0</v>
      </c>
      <c r="CT136" s="169">
        <f t="shared" si="40"/>
        <v>0</v>
      </c>
      <c r="CU136" s="169">
        <f t="shared" si="40"/>
        <v>0</v>
      </c>
      <c r="CV136" s="169">
        <f t="shared" si="40"/>
        <v>0</v>
      </c>
      <c r="CW136" s="169">
        <f t="shared" si="40"/>
        <v>0</v>
      </c>
      <c r="CX136" s="169">
        <f t="shared" si="40"/>
        <v>0</v>
      </c>
      <c r="CY136" s="169">
        <f t="shared" si="40"/>
        <v>0</v>
      </c>
      <c r="DC136" s="183" t="str">
        <f t="shared" si="44"/>
        <v>lot5</v>
      </c>
      <c r="DE136" s="169">
        <f t="shared" si="41"/>
        <v>0</v>
      </c>
      <c r="DF136" s="169">
        <f t="shared" si="41"/>
        <v>0</v>
      </c>
      <c r="DG136" s="169">
        <f t="shared" si="41"/>
        <v>0</v>
      </c>
      <c r="DH136" s="169">
        <f t="shared" si="41"/>
        <v>0</v>
      </c>
      <c r="DI136" s="169">
        <f t="shared" si="41"/>
        <v>0</v>
      </c>
      <c r="DJ136" s="169">
        <f t="shared" si="41"/>
        <v>0</v>
      </c>
      <c r="DK136" s="169">
        <f t="shared" si="41"/>
        <v>0</v>
      </c>
      <c r="DL136" s="169">
        <f t="shared" si="41"/>
        <v>0</v>
      </c>
      <c r="DM136" s="169">
        <f t="shared" si="41"/>
        <v>0</v>
      </c>
      <c r="DN136" s="169">
        <f t="shared" si="41"/>
        <v>0</v>
      </c>
      <c r="DO136" s="169">
        <f t="shared" si="41"/>
        <v>0</v>
      </c>
      <c r="DP136" s="169">
        <f t="shared" si="41"/>
        <v>0</v>
      </c>
      <c r="DQ136" s="169">
        <f t="shared" si="41"/>
        <v>0</v>
      </c>
      <c r="DR136" s="169">
        <f t="shared" si="41"/>
        <v>0</v>
      </c>
      <c r="DS136" s="169">
        <f t="shared" si="41"/>
        <v>0</v>
      </c>
      <c r="DT136" s="169">
        <f t="shared" si="41"/>
        <v>0</v>
      </c>
      <c r="DU136" s="169">
        <f t="shared" si="41"/>
        <v>0</v>
      </c>
      <c r="DV136" s="169">
        <f t="shared" si="41"/>
        <v>0</v>
      </c>
      <c r="DW136" s="169">
        <f t="shared" si="41"/>
        <v>0</v>
      </c>
      <c r="DX136" s="169">
        <f t="shared" si="41"/>
        <v>0</v>
      </c>
      <c r="DY136" s="169">
        <f t="shared" si="41"/>
        <v>0</v>
      </c>
      <c r="DZ136" s="169">
        <f t="shared" si="41"/>
        <v>0</v>
      </c>
      <c r="EA136" s="169">
        <f t="shared" si="41"/>
        <v>0</v>
      </c>
      <c r="EB136" s="169">
        <f t="shared" si="41"/>
        <v>0</v>
      </c>
    </row>
    <row r="137" spans="1:132" x14ac:dyDescent="0.25">
      <c r="A137" s="2" t="s">
        <v>1268</v>
      </c>
      <c r="B137" s="32" t="s">
        <v>1269</v>
      </c>
      <c r="C137" s="169">
        <f>IF(Troupeau!B$3="OL",('Calcul éco'!B9+'Calcul éco'!B10),0)</f>
        <v>0</v>
      </c>
      <c r="D137" s="259">
        <f>C137*$D$82/$C$82</f>
        <v>0</v>
      </c>
      <c r="F137" s="14" t="s">
        <v>1270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3" t="str">
        <f t="shared" si="42"/>
        <v>lot6</v>
      </c>
      <c r="AV137" s="169">
        <f t="shared" si="39"/>
        <v>0</v>
      </c>
      <c r="AW137" s="169">
        <f t="shared" si="39"/>
        <v>0</v>
      </c>
      <c r="AX137" s="169">
        <f t="shared" si="39"/>
        <v>0</v>
      </c>
      <c r="AY137" s="169">
        <f t="shared" si="39"/>
        <v>0</v>
      </c>
      <c r="AZ137" s="169">
        <f t="shared" si="39"/>
        <v>0</v>
      </c>
      <c r="BA137" s="169">
        <f t="shared" si="39"/>
        <v>0</v>
      </c>
      <c r="BB137" s="169">
        <f t="shared" si="39"/>
        <v>0</v>
      </c>
      <c r="BC137" s="169">
        <f t="shared" si="39"/>
        <v>0</v>
      </c>
      <c r="BD137" s="169">
        <f t="shared" si="39"/>
        <v>0</v>
      </c>
      <c r="BE137" s="169">
        <f t="shared" si="39"/>
        <v>0</v>
      </c>
      <c r="BF137" s="169">
        <f t="shared" si="39"/>
        <v>0</v>
      </c>
      <c r="BG137" s="169">
        <f t="shared" si="39"/>
        <v>0</v>
      </c>
      <c r="BH137" s="169">
        <f t="shared" si="39"/>
        <v>0</v>
      </c>
      <c r="BI137" s="169">
        <f t="shared" si="39"/>
        <v>0</v>
      </c>
      <c r="BJ137" s="169">
        <f t="shared" si="39"/>
        <v>0</v>
      </c>
      <c r="BK137" s="169">
        <f t="shared" si="39"/>
        <v>0</v>
      </c>
      <c r="BL137" s="169">
        <f t="shared" si="39"/>
        <v>0</v>
      </c>
      <c r="BM137" s="169">
        <f t="shared" si="39"/>
        <v>0</v>
      </c>
      <c r="BN137" s="169">
        <f t="shared" si="39"/>
        <v>0</v>
      </c>
      <c r="BO137" s="169">
        <f t="shared" si="39"/>
        <v>0</v>
      </c>
      <c r="BP137" s="169">
        <f t="shared" si="39"/>
        <v>0</v>
      </c>
      <c r="BQ137" s="169">
        <f t="shared" si="39"/>
        <v>0</v>
      </c>
      <c r="BR137" s="169">
        <f t="shared" si="39"/>
        <v>0</v>
      </c>
      <c r="BS137" s="169">
        <f t="shared" si="39"/>
        <v>0</v>
      </c>
      <c r="BZ137" s="183" t="str">
        <f t="shared" si="43"/>
        <v>lot6</v>
      </c>
      <c r="CB137" s="169">
        <f t="shared" si="40"/>
        <v>0</v>
      </c>
      <c r="CC137" s="169">
        <f t="shared" si="40"/>
        <v>0</v>
      </c>
      <c r="CD137" s="169">
        <f t="shared" si="40"/>
        <v>0</v>
      </c>
      <c r="CE137" s="169">
        <f t="shared" si="40"/>
        <v>0</v>
      </c>
      <c r="CF137" s="169">
        <f t="shared" si="40"/>
        <v>0</v>
      </c>
      <c r="CG137" s="169">
        <f t="shared" si="40"/>
        <v>0</v>
      </c>
      <c r="CH137" s="169">
        <f t="shared" si="40"/>
        <v>0</v>
      </c>
      <c r="CI137" s="169">
        <f t="shared" si="40"/>
        <v>0</v>
      </c>
      <c r="CJ137" s="169">
        <f t="shared" si="40"/>
        <v>0</v>
      </c>
      <c r="CK137" s="169">
        <f t="shared" si="40"/>
        <v>0</v>
      </c>
      <c r="CL137" s="169">
        <f t="shared" si="40"/>
        <v>0</v>
      </c>
      <c r="CM137" s="169">
        <f t="shared" si="40"/>
        <v>0</v>
      </c>
      <c r="CN137" s="169">
        <f t="shared" si="40"/>
        <v>0</v>
      </c>
      <c r="CO137" s="169">
        <f t="shared" si="40"/>
        <v>0</v>
      </c>
      <c r="CP137" s="169">
        <f t="shared" si="40"/>
        <v>0</v>
      </c>
      <c r="CQ137" s="169">
        <f t="shared" si="40"/>
        <v>0</v>
      </c>
      <c r="CR137" s="169">
        <f t="shared" si="40"/>
        <v>0</v>
      </c>
      <c r="CS137" s="169">
        <f t="shared" si="40"/>
        <v>0</v>
      </c>
      <c r="CT137" s="169">
        <f t="shared" si="40"/>
        <v>0</v>
      </c>
      <c r="CU137" s="169">
        <f t="shared" si="40"/>
        <v>0</v>
      </c>
      <c r="CV137" s="169">
        <f t="shared" si="40"/>
        <v>0</v>
      </c>
      <c r="CW137" s="169">
        <f t="shared" si="40"/>
        <v>0</v>
      </c>
      <c r="CX137" s="169">
        <f t="shared" si="40"/>
        <v>0</v>
      </c>
      <c r="CY137" s="169">
        <f t="shared" si="40"/>
        <v>0</v>
      </c>
      <c r="DC137" s="183" t="str">
        <f t="shared" si="44"/>
        <v>lot6</v>
      </c>
      <c r="DE137" s="169">
        <f t="shared" si="41"/>
        <v>0</v>
      </c>
      <c r="DF137" s="169">
        <f t="shared" si="41"/>
        <v>0</v>
      </c>
      <c r="DG137" s="169">
        <f t="shared" si="41"/>
        <v>0</v>
      </c>
      <c r="DH137" s="169">
        <f t="shared" si="41"/>
        <v>0</v>
      </c>
      <c r="DI137" s="169">
        <f t="shared" si="41"/>
        <v>0</v>
      </c>
      <c r="DJ137" s="169">
        <f t="shared" si="41"/>
        <v>0</v>
      </c>
      <c r="DK137" s="169">
        <f t="shared" si="41"/>
        <v>0</v>
      </c>
      <c r="DL137" s="169">
        <f t="shared" si="41"/>
        <v>0</v>
      </c>
      <c r="DM137" s="169">
        <f t="shared" si="41"/>
        <v>0</v>
      </c>
      <c r="DN137" s="169">
        <f t="shared" si="41"/>
        <v>0</v>
      </c>
      <c r="DO137" s="169">
        <f t="shared" si="41"/>
        <v>0</v>
      </c>
      <c r="DP137" s="169">
        <f t="shared" si="41"/>
        <v>0</v>
      </c>
      <c r="DQ137" s="169">
        <f t="shared" si="41"/>
        <v>0</v>
      </c>
      <c r="DR137" s="169">
        <f t="shared" si="41"/>
        <v>0</v>
      </c>
      <c r="DS137" s="169">
        <f t="shared" si="41"/>
        <v>0</v>
      </c>
      <c r="DT137" s="169">
        <f t="shared" si="41"/>
        <v>0</v>
      </c>
      <c r="DU137" s="169">
        <f t="shared" si="41"/>
        <v>0</v>
      </c>
      <c r="DV137" s="169">
        <f t="shared" si="41"/>
        <v>0</v>
      </c>
      <c r="DW137" s="169">
        <f t="shared" si="41"/>
        <v>0</v>
      </c>
      <c r="DX137" s="169">
        <f t="shared" si="41"/>
        <v>0</v>
      </c>
      <c r="DY137" s="169">
        <f t="shared" si="41"/>
        <v>0</v>
      </c>
      <c r="DZ137" s="169">
        <f t="shared" si="41"/>
        <v>0</v>
      </c>
      <c r="EA137" s="169">
        <f t="shared" si="41"/>
        <v>0</v>
      </c>
      <c r="EB137" s="169">
        <f t="shared" si="41"/>
        <v>0</v>
      </c>
    </row>
    <row r="138" spans="1:132" x14ac:dyDescent="0.25">
      <c r="B138" s="32" t="s">
        <v>1271</v>
      </c>
      <c r="C138" s="169">
        <f>IF(Troupeau!B$3="OL",('Calcul éco'!B13+'Calcul éco'!B14),0)</f>
        <v>0</v>
      </c>
      <c r="D138" s="259">
        <f t="shared" ref="D138:D174" si="50">C138*$D$82/$C$82</f>
        <v>0</v>
      </c>
      <c r="F138" s="14" t="s">
        <v>1272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3" t="str">
        <f t="shared" si="42"/>
        <v>lot7</v>
      </c>
      <c r="AV138" s="169">
        <f t="shared" si="39"/>
        <v>0</v>
      </c>
      <c r="AW138" s="169">
        <f t="shared" si="39"/>
        <v>0</v>
      </c>
      <c r="AX138" s="169">
        <f t="shared" si="39"/>
        <v>0</v>
      </c>
      <c r="AY138" s="169">
        <f t="shared" si="39"/>
        <v>0</v>
      </c>
      <c r="AZ138" s="169">
        <f t="shared" si="39"/>
        <v>0</v>
      </c>
      <c r="BA138" s="169">
        <f t="shared" si="39"/>
        <v>0</v>
      </c>
      <c r="BB138" s="169">
        <f t="shared" si="39"/>
        <v>0</v>
      </c>
      <c r="BC138" s="169">
        <f t="shared" si="39"/>
        <v>0</v>
      </c>
      <c r="BD138" s="169">
        <f t="shared" si="39"/>
        <v>0</v>
      </c>
      <c r="BE138" s="169">
        <f t="shared" si="39"/>
        <v>0</v>
      </c>
      <c r="BF138" s="169">
        <f t="shared" si="39"/>
        <v>0</v>
      </c>
      <c r="BG138" s="169">
        <f t="shared" si="39"/>
        <v>0</v>
      </c>
      <c r="BH138" s="169">
        <f t="shared" si="39"/>
        <v>0</v>
      </c>
      <c r="BI138" s="169">
        <f t="shared" si="39"/>
        <v>0</v>
      </c>
      <c r="BJ138" s="169">
        <f t="shared" si="39"/>
        <v>0</v>
      </c>
      <c r="BK138" s="169">
        <f t="shared" si="39"/>
        <v>0</v>
      </c>
      <c r="BL138" s="169">
        <f t="shared" si="39"/>
        <v>0</v>
      </c>
      <c r="BM138" s="169">
        <f t="shared" si="39"/>
        <v>0</v>
      </c>
      <c r="BN138" s="169">
        <f t="shared" si="39"/>
        <v>0</v>
      </c>
      <c r="BO138" s="169">
        <f t="shared" si="39"/>
        <v>0</v>
      </c>
      <c r="BP138" s="169">
        <f t="shared" si="39"/>
        <v>0</v>
      </c>
      <c r="BQ138" s="169">
        <f t="shared" si="39"/>
        <v>0</v>
      </c>
      <c r="BR138" s="169">
        <f t="shared" si="39"/>
        <v>0</v>
      </c>
      <c r="BS138" s="169">
        <f t="shared" si="39"/>
        <v>0</v>
      </c>
      <c r="BZ138" s="183" t="str">
        <f t="shared" si="43"/>
        <v>lot7</v>
      </c>
      <c r="CB138" s="169">
        <f t="shared" si="40"/>
        <v>0</v>
      </c>
      <c r="CC138" s="169">
        <f t="shared" si="40"/>
        <v>0</v>
      </c>
      <c r="CD138" s="169">
        <f t="shared" si="40"/>
        <v>0</v>
      </c>
      <c r="CE138" s="169">
        <f t="shared" si="40"/>
        <v>0</v>
      </c>
      <c r="CF138" s="169">
        <f t="shared" si="40"/>
        <v>0</v>
      </c>
      <c r="CG138" s="169">
        <f t="shared" si="40"/>
        <v>0</v>
      </c>
      <c r="CH138" s="169">
        <f t="shared" si="40"/>
        <v>0</v>
      </c>
      <c r="CI138" s="169">
        <f t="shared" si="40"/>
        <v>0</v>
      </c>
      <c r="CJ138" s="169">
        <f t="shared" si="40"/>
        <v>0</v>
      </c>
      <c r="CK138" s="169">
        <f t="shared" si="40"/>
        <v>0</v>
      </c>
      <c r="CL138" s="169">
        <f t="shared" si="40"/>
        <v>0</v>
      </c>
      <c r="CM138" s="169">
        <f t="shared" si="40"/>
        <v>0</v>
      </c>
      <c r="CN138" s="169">
        <f t="shared" si="40"/>
        <v>0</v>
      </c>
      <c r="CO138" s="169">
        <f t="shared" si="40"/>
        <v>0</v>
      </c>
      <c r="CP138" s="169">
        <f t="shared" si="40"/>
        <v>0</v>
      </c>
      <c r="CQ138" s="169">
        <f t="shared" si="40"/>
        <v>0</v>
      </c>
      <c r="CR138" s="169">
        <f t="shared" si="40"/>
        <v>0</v>
      </c>
      <c r="CS138" s="169">
        <f t="shared" si="40"/>
        <v>0</v>
      </c>
      <c r="CT138" s="169">
        <f t="shared" si="40"/>
        <v>0</v>
      </c>
      <c r="CU138" s="169">
        <f t="shared" si="40"/>
        <v>0</v>
      </c>
      <c r="CV138" s="169">
        <f t="shared" si="40"/>
        <v>0</v>
      </c>
      <c r="CW138" s="169">
        <f t="shared" si="40"/>
        <v>0</v>
      </c>
      <c r="CX138" s="169">
        <f t="shared" si="40"/>
        <v>0</v>
      </c>
      <c r="CY138" s="169">
        <f t="shared" si="40"/>
        <v>0</v>
      </c>
      <c r="DC138" s="183" t="str">
        <f t="shared" si="44"/>
        <v>lot7</v>
      </c>
      <c r="DE138" s="169">
        <f t="shared" si="41"/>
        <v>0</v>
      </c>
      <c r="DF138" s="169">
        <f t="shared" si="41"/>
        <v>0</v>
      </c>
      <c r="DG138" s="169">
        <f t="shared" si="41"/>
        <v>0</v>
      </c>
      <c r="DH138" s="169">
        <f t="shared" si="41"/>
        <v>0</v>
      </c>
      <c r="DI138" s="169">
        <f t="shared" si="41"/>
        <v>0</v>
      </c>
      <c r="DJ138" s="169">
        <f t="shared" si="41"/>
        <v>0</v>
      </c>
      <c r="DK138" s="169">
        <f t="shared" si="41"/>
        <v>0</v>
      </c>
      <c r="DL138" s="169">
        <f t="shared" si="41"/>
        <v>0</v>
      </c>
      <c r="DM138" s="169">
        <f t="shared" si="41"/>
        <v>0</v>
      </c>
      <c r="DN138" s="169">
        <f t="shared" si="41"/>
        <v>0</v>
      </c>
      <c r="DO138" s="169">
        <f t="shared" si="41"/>
        <v>0</v>
      </c>
      <c r="DP138" s="169">
        <f t="shared" si="41"/>
        <v>0</v>
      </c>
      <c r="DQ138" s="169">
        <f t="shared" si="41"/>
        <v>0</v>
      </c>
      <c r="DR138" s="169">
        <f t="shared" si="41"/>
        <v>0</v>
      </c>
      <c r="DS138" s="169">
        <f t="shared" si="41"/>
        <v>0</v>
      </c>
      <c r="DT138" s="169">
        <f t="shared" si="41"/>
        <v>0</v>
      </c>
      <c r="DU138" s="169">
        <f t="shared" si="41"/>
        <v>0</v>
      </c>
      <c r="DV138" s="169">
        <f t="shared" si="41"/>
        <v>0</v>
      </c>
      <c r="DW138" s="169">
        <f t="shared" si="41"/>
        <v>0</v>
      </c>
      <c r="DX138" s="169">
        <f t="shared" si="41"/>
        <v>0</v>
      </c>
      <c r="DY138" s="169">
        <f t="shared" si="41"/>
        <v>0</v>
      </c>
      <c r="DZ138" s="169">
        <f t="shared" si="41"/>
        <v>0</v>
      </c>
      <c r="EA138" s="169">
        <f t="shared" si="41"/>
        <v>0</v>
      </c>
      <c r="EB138" s="169">
        <f t="shared" si="41"/>
        <v>0</v>
      </c>
    </row>
    <row r="139" spans="1:132" x14ac:dyDescent="0.25">
      <c r="B139" s="32" t="s">
        <v>1273</v>
      </c>
      <c r="C139" s="169">
        <f>IF(Troupeau!B$3="VL",('Calcul éco'!B9+'Calcul éco'!B10),0)</f>
        <v>0</v>
      </c>
      <c r="D139" s="259">
        <f t="shared" si="50"/>
        <v>0</v>
      </c>
      <c r="F139" s="14" t="s">
        <v>1274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3" t="str">
        <f t="shared" si="42"/>
        <v>lot8</v>
      </c>
      <c r="AV139" s="169">
        <f t="shared" si="39"/>
        <v>0</v>
      </c>
      <c r="AW139" s="169">
        <f t="shared" si="39"/>
        <v>0</v>
      </c>
      <c r="AX139" s="169">
        <f t="shared" si="39"/>
        <v>0</v>
      </c>
      <c r="AY139" s="169">
        <f t="shared" si="39"/>
        <v>0</v>
      </c>
      <c r="AZ139" s="169">
        <f t="shared" si="39"/>
        <v>0</v>
      </c>
      <c r="BA139" s="169">
        <f t="shared" si="39"/>
        <v>0</v>
      </c>
      <c r="BB139" s="169">
        <f t="shared" si="39"/>
        <v>0</v>
      </c>
      <c r="BC139" s="169">
        <f t="shared" si="39"/>
        <v>0</v>
      </c>
      <c r="BD139" s="169">
        <f t="shared" si="39"/>
        <v>0</v>
      </c>
      <c r="BE139" s="169">
        <f t="shared" si="39"/>
        <v>0</v>
      </c>
      <c r="BF139" s="169">
        <f t="shared" si="39"/>
        <v>0</v>
      </c>
      <c r="BG139" s="169">
        <f t="shared" si="39"/>
        <v>0</v>
      </c>
      <c r="BH139" s="169">
        <f t="shared" si="39"/>
        <v>0</v>
      </c>
      <c r="BI139" s="169">
        <f t="shared" si="39"/>
        <v>0</v>
      </c>
      <c r="BJ139" s="169">
        <f t="shared" si="39"/>
        <v>0</v>
      </c>
      <c r="BK139" s="169">
        <f t="shared" si="39"/>
        <v>0</v>
      </c>
      <c r="BL139" s="169">
        <f t="shared" si="39"/>
        <v>0</v>
      </c>
      <c r="BM139" s="169">
        <f t="shared" si="39"/>
        <v>0</v>
      </c>
      <c r="BN139" s="169">
        <f t="shared" si="39"/>
        <v>0</v>
      </c>
      <c r="BO139" s="169">
        <f t="shared" si="39"/>
        <v>0</v>
      </c>
      <c r="BP139" s="169">
        <f t="shared" si="39"/>
        <v>0</v>
      </c>
      <c r="BQ139" s="169">
        <f t="shared" si="39"/>
        <v>0</v>
      </c>
      <c r="BR139" s="169">
        <f t="shared" si="39"/>
        <v>0</v>
      </c>
      <c r="BS139" s="169">
        <f t="shared" si="39"/>
        <v>0</v>
      </c>
      <c r="BZ139" s="183" t="str">
        <f t="shared" si="43"/>
        <v>lot8</v>
      </c>
      <c r="CB139" s="169">
        <f t="shared" si="40"/>
        <v>0</v>
      </c>
      <c r="CC139" s="169">
        <f t="shared" si="40"/>
        <v>0</v>
      </c>
      <c r="CD139" s="169">
        <f t="shared" si="40"/>
        <v>0</v>
      </c>
      <c r="CE139" s="169">
        <f t="shared" si="40"/>
        <v>0</v>
      </c>
      <c r="CF139" s="169">
        <f t="shared" si="40"/>
        <v>0</v>
      </c>
      <c r="CG139" s="169">
        <f t="shared" si="40"/>
        <v>0</v>
      </c>
      <c r="CH139" s="169">
        <f t="shared" si="40"/>
        <v>0</v>
      </c>
      <c r="CI139" s="169">
        <f t="shared" si="40"/>
        <v>0</v>
      </c>
      <c r="CJ139" s="169">
        <f t="shared" si="40"/>
        <v>0</v>
      </c>
      <c r="CK139" s="169">
        <f t="shared" si="40"/>
        <v>0</v>
      </c>
      <c r="CL139" s="169">
        <f t="shared" si="40"/>
        <v>0</v>
      </c>
      <c r="CM139" s="169">
        <f t="shared" si="40"/>
        <v>0</v>
      </c>
      <c r="CN139" s="169">
        <f t="shared" si="40"/>
        <v>0</v>
      </c>
      <c r="CO139" s="169">
        <f t="shared" si="40"/>
        <v>0</v>
      </c>
      <c r="CP139" s="169">
        <f t="shared" si="40"/>
        <v>0</v>
      </c>
      <c r="CQ139" s="169">
        <f t="shared" si="40"/>
        <v>0</v>
      </c>
      <c r="CR139" s="169">
        <f t="shared" si="40"/>
        <v>0</v>
      </c>
      <c r="CS139" s="169">
        <f t="shared" si="40"/>
        <v>0</v>
      </c>
      <c r="CT139" s="169">
        <f t="shared" si="40"/>
        <v>0</v>
      </c>
      <c r="CU139" s="169">
        <f t="shared" si="40"/>
        <v>0</v>
      </c>
      <c r="CV139" s="169">
        <f t="shared" si="40"/>
        <v>0</v>
      </c>
      <c r="CW139" s="169">
        <f t="shared" si="40"/>
        <v>0</v>
      </c>
      <c r="CX139" s="169">
        <f t="shared" si="40"/>
        <v>0</v>
      </c>
      <c r="CY139" s="169">
        <f t="shared" si="40"/>
        <v>0</v>
      </c>
      <c r="DC139" s="183" t="str">
        <f t="shared" si="44"/>
        <v>lot8</v>
      </c>
      <c r="DE139" s="169">
        <f t="shared" si="41"/>
        <v>0</v>
      </c>
      <c r="DF139" s="169">
        <f t="shared" si="41"/>
        <v>0</v>
      </c>
      <c r="DG139" s="169">
        <f t="shared" si="41"/>
        <v>0</v>
      </c>
      <c r="DH139" s="169">
        <f t="shared" si="41"/>
        <v>0</v>
      </c>
      <c r="DI139" s="169">
        <f t="shared" si="41"/>
        <v>0</v>
      </c>
      <c r="DJ139" s="169">
        <f t="shared" si="41"/>
        <v>0</v>
      </c>
      <c r="DK139" s="169">
        <f t="shared" si="41"/>
        <v>0</v>
      </c>
      <c r="DL139" s="169">
        <f t="shared" si="41"/>
        <v>0</v>
      </c>
      <c r="DM139" s="169">
        <f t="shared" si="41"/>
        <v>0</v>
      </c>
      <c r="DN139" s="169">
        <f t="shared" si="41"/>
        <v>0</v>
      </c>
      <c r="DO139" s="169">
        <f t="shared" si="41"/>
        <v>0</v>
      </c>
      <c r="DP139" s="169">
        <f t="shared" si="41"/>
        <v>0</v>
      </c>
      <c r="DQ139" s="169">
        <f t="shared" si="41"/>
        <v>0</v>
      </c>
      <c r="DR139" s="169">
        <f t="shared" si="41"/>
        <v>0</v>
      </c>
      <c r="DS139" s="169">
        <f t="shared" si="41"/>
        <v>0</v>
      </c>
      <c r="DT139" s="169">
        <f t="shared" si="41"/>
        <v>0</v>
      </c>
      <c r="DU139" s="169">
        <f t="shared" si="41"/>
        <v>0</v>
      </c>
      <c r="DV139" s="169">
        <f t="shared" si="41"/>
        <v>0</v>
      </c>
      <c r="DW139" s="169">
        <f t="shared" si="41"/>
        <v>0</v>
      </c>
      <c r="DX139" s="169">
        <f t="shared" si="41"/>
        <v>0</v>
      </c>
      <c r="DY139" s="169">
        <f t="shared" si="41"/>
        <v>0</v>
      </c>
      <c r="DZ139" s="169">
        <f t="shared" si="41"/>
        <v>0</v>
      </c>
      <c r="EA139" s="169">
        <f t="shared" si="41"/>
        <v>0</v>
      </c>
      <c r="EB139" s="169">
        <f t="shared" si="41"/>
        <v>0</v>
      </c>
    </row>
    <row r="140" spans="1:132" x14ac:dyDescent="0.25">
      <c r="B140" s="32" t="s">
        <v>1275</v>
      </c>
      <c r="C140" s="169">
        <f>IF(Troupeau!B$3="VL",('Calcul éco'!B13),0)</f>
        <v>0</v>
      </c>
      <c r="D140" s="259">
        <f t="shared" si="50"/>
        <v>0</v>
      </c>
      <c r="F140" s="14" t="s">
        <v>1276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3" t="str">
        <f t="shared" si="42"/>
        <v>lot9</v>
      </c>
      <c r="AV140" s="169">
        <f t="shared" ref="AV140:BS141" si="54">IF(AV84=0,0,VALUE(CONCATENATE(AV95,AV106)))</f>
        <v>0</v>
      </c>
      <c r="AW140" s="169">
        <f t="shared" si="54"/>
        <v>0</v>
      </c>
      <c r="AX140" s="169">
        <f t="shared" si="54"/>
        <v>0</v>
      </c>
      <c r="AY140" s="169">
        <f t="shared" si="54"/>
        <v>0</v>
      </c>
      <c r="AZ140" s="169">
        <f t="shared" si="54"/>
        <v>0</v>
      </c>
      <c r="BA140" s="169">
        <f t="shared" si="54"/>
        <v>0</v>
      </c>
      <c r="BB140" s="169">
        <f t="shared" si="54"/>
        <v>0</v>
      </c>
      <c r="BC140" s="169">
        <f t="shared" si="54"/>
        <v>0</v>
      </c>
      <c r="BD140" s="169">
        <f t="shared" si="54"/>
        <v>0</v>
      </c>
      <c r="BE140" s="169">
        <f t="shared" si="54"/>
        <v>0</v>
      </c>
      <c r="BF140" s="169">
        <f t="shared" si="54"/>
        <v>0</v>
      </c>
      <c r="BG140" s="169">
        <f t="shared" si="54"/>
        <v>0</v>
      </c>
      <c r="BH140" s="169">
        <f t="shared" si="54"/>
        <v>0</v>
      </c>
      <c r="BI140" s="169">
        <f t="shared" si="54"/>
        <v>0</v>
      </c>
      <c r="BJ140" s="169">
        <f t="shared" si="54"/>
        <v>0</v>
      </c>
      <c r="BK140" s="169">
        <f t="shared" si="54"/>
        <v>0</v>
      </c>
      <c r="BL140" s="169">
        <f t="shared" si="54"/>
        <v>0</v>
      </c>
      <c r="BM140" s="169">
        <f t="shared" si="54"/>
        <v>0</v>
      </c>
      <c r="BN140" s="169">
        <f t="shared" si="54"/>
        <v>0</v>
      </c>
      <c r="BO140" s="169">
        <f t="shared" si="54"/>
        <v>0</v>
      </c>
      <c r="BP140" s="169">
        <f t="shared" si="54"/>
        <v>0</v>
      </c>
      <c r="BQ140" s="169">
        <f t="shared" si="54"/>
        <v>0</v>
      </c>
      <c r="BR140" s="169">
        <f t="shared" si="54"/>
        <v>0</v>
      </c>
      <c r="BS140" s="169">
        <f t="shared" si="54"/>
        <v>0</v>
      </c>
      <c r="BZ140" s="183" t="str">
        <f t="shared" si="43"/>
        <v>lot9</v>
      </c>
      <c r="CB140" s="169">
        <f t="shared" ref="CB140:CY141" si="55">IF(CB84=0,0,VALUE(CONCATENATE(CB95,CB106)))</f>
        <v>0</v>
      </c>
      <c r="CC140" s="169">
        <f t="shared" si="55"/>
        <v>0</v>
      </c>
      <c r="CD140" s="169">
        <f t="shared" si="55"/>
        <v>0</v>
      </c>
      <c r="CE140" s="169">
        <f t="shared" si="55"/>
        <v>0</v>
      </c>
      <c r="CF140" s="169">
        <f t="shared" si="55"/>
        <v>0</v>
      </c>
      <c r="CG140" s="169">
        <f t="shared" si="55"/>
        <v>0</v>
      </c>
      <c r="CH140" s="169">
        <f t="shared" si="55"/>
        <v>0</v>
      </c>
      <c r="CI140" s="169">
        <f t="shared" si="55"/>
        <v>0</v>
      </c>
      <c r="CJ140" s="169">
        <f t="shared" si="55"/>
        <v>0</v>
      </c>
      <c r="CK140" s="169">
        <f t="shared" si="55"/>
        <v>0</v>
      </c>
      <c r="CL140" s="169">
        <f t="shared" si="55"/>
        <v>0</v>
      </c>
      <c r="CM140" s="169">
        <f t="shared" si="55"/>
        <v>0</v>
      </c>
      <c r="CN140" s="169">
        <f t="shared" si="55"/>
        <v>0</v>
      </c>
      <c r="CO140" s="169">
        <f t="shared" si="55"/>
        <v>0</v>
      </c>
      <c r="CP140" s="169">
        <f t="shared" si="55"/>
        <v>0</v>
      </c>
      <c r="CQ140" s="169">
        <f t="shared" si="55"/>
        <v>0</v>
      </c>
      <c r="CR140" s="169">
        <f t="shared" si="55"/>
        <v>0</v>
      </c>
      <c r="CS140" s="169">
        <f t="shared" si="55"/>
        <v>0</v>
      </c>
      <c r="CT140" s="169">
        <f t="shared" si="55"/>
        <v>0</v>
      </c>
      <c r="CU140" s="169">
        <f t="shared" si="55"/>
        <v>0</v>
      </c>
      <c r="CV140" s="169">
        <f t="shared" si="55"/>
        <v>0</v>
      </c>
      <c r="CW140" s="169">
        <f t="shared" si="55"/>
        <v>0</v>
      </c>
      <c r="CX140" s="169">
        <f t="shared" si="55"/>
        <v>0</v>
      </c>
      <c r="CY140" s="169">
        <f t="shared" si="55"/>
        <v>0</v>
      </c>
      <c r="DC140" s="183" t="str">
        <f t="shared" si="44"/>
        <v>lot9</v>
      </c>
      <c r="DE140" s="169">
        <f t="shared" ref="DE140:EB141" si="56">IF(DE84=0,0,VALUE(CONCATENATE(DE95,DE106)))</f>
        <v>0</v>
      </c>
      <c r="DF140" s="169">
        <f t="shared" si="56"/>
        <v>0</v>
      </c>
      <c r="DG140" s="169">
        <f t="shared" si="56"/>
        <v>0</v>
      </c>
      <c r="DH140" s="169">
        <f t="shared" si="56"/>
        <v>0</v>
      </c>
      <c r="DI140" s="169">
        <f t="shared" si="56"/>
        <v>0</v>
      </c>
      <c r="DJ140" s="169">
        <f t="shared" si="56"/>
        <v>0</v>
      </c>
      <c r="DK140" s="169">
        <f t="shared" si="56"/>
        <v>0</v>
      </c>
      <c r="DL140" s="169">
        <f t="shared" si="56"/>
        <v>0</v>
      </c>
      <c r="DM140" s="169">
        <f t="shared" si="56"/>
        <v>0</v>
      </c>
      <c r="DN140" s="169">
        <f t="shared" si="56"/>
        <v>0</v>
      </c>
      <c r="DO140" s="169">
        <f t="shared" si="56"/>
        <v>0</v>
      </c>
      <c r="DP140" s="169">
        <f t="shared" si="56"/>
        <v>0</v>
      </c>
      <c r="DQ140" s="169">
        <f t="shared" si="56"/>
        <v>0</v>
      </c>
      <c r="DR140" s="169">
        <f t="shared" si="56"/>
        <v>0</v>
      </c>
      <c r="DS140" s="169">
        <f t="shared" si="56"/>
        <v>0</v>
      </c>
      <c r="DT140" s="169">
        <f t="shared" si="56"/>
        <v>0</v>
      </c>
      <c r="DU140" s="169">
        <f t="shared" si="56"/>
        <v>0</v>
      </c>
      <c r="DV140" s="169">
        <f t="shared" si="56"/>
        <v>0</v>
      </c>
      <c r="DW140" s="169">
        <f t="shared" si="56"/>
        <v>0</v>
      </c>
      <c r="DX140" s="169">
        <f t="shared" si="56"/>
        <v>0</v>
      </c>
      <c r="DY140" s="169">
        <f t="shared" si="56"/>
        <v>0</v>
      </c>
      <c r="DZ140" s="169">
        <f t="shared" si="56"/>
        <v>0</v>
      </c>
      <c r="EA140" s="169">
        <f t="shared" si="56"/>
        <v>0</v>
      </c>
      <c r="EB140" s="169">
        <f t="shared" si="56"/>
        <v>0</v>
      </c>
    </row>
    <row r="141" spans="1:132" x14ac:dyDescent="0.25">
      <c r="B141" s="32" t="s">
        <v>1277</v>
      </c>
      <c r="C141" s="169">
        <f>IF(Troupeau!B$3="VL",('Calcul éco'!B14),0)</f>
        <v>0</v>
      </c>
      <c r="D141" s="259">
        <f t="shared" si="50"/>
        <v>0</v>
      </c>
      <c r="F141" s="14" t="s">
        <v>1278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3" t="str">
        <f t="shared" si="42"/>
        <v>lot10</v>
      </c>
      <c r="AV141" s="169">
        <f t="shared" si="54"/>
        <v>0</v>
      </c>
      <c r="AW141" s="169">
        <f t="shared" si="54"/>
        <v>0</v>
      </c>
      <c r="AX141" s="169">
        <f t="shared" si="54"/>
        <v>0</v>
      </c>
      <c r="AY141" s="169">
        <f t="shared" si="54"/>
        <v>0</v>
      </c>
      <c r="AZ141" s="169">
        <f t="shared" si="54"/>
        <v>0</v>
      </c>
      <c r="BA141" s="169">
        <f t="shared" si="54"/>
        <v>0</v>
      </c>
      <c r="BB141" s="169">
        <f t="shared" si="54"/>
        <v>0</v>
      </c>
      <c r="BC141" s="169">
        <f t="shared" si="54"/>
        <v>0</v>
      </c>
      <c r="BD141" s="169">
        <f t="shared" si="54"/>
        <v>0</v>
      </c>
      <c r="BE141" s="169">
        <f t="shared" si="54"/>
        <v>0</v>
      </c>
      <c r="BF141" s="169">
        <f t="shared" si="54"/>
        <v>0</v>
      </c>
      <c r="BG141" s="169">
        <f t="shared" si="54"/>
        <v>0</v>
      </c>
      <c r="BH141" s="169">
        <f t="shared" si="54"/>
        <v>0</v>
      </c>
      <c r="BI141" s="169">
        <f t="shared" si="54"/>
        <v>0</v>
      </c>
      <c r="BJ141" s="169">
        <f t="shared" si="54"/>
        <v>0</v>
      </c>
      <c r="BK141" s="169">
        <f t="shared" si="54"/>
        <v>0</v>
      </c>
      <c r="BL141" s="169">
        <f t="shared" si="54"/>
        <v>0</v>
      </c>
      <c r="BM141" s="169">
        <f t="shared" si="54"/>
        <v>0</v>
      </c>
      <c r="BN141" s="169">
        <f t="shared" si="54"/>
        <v>0</v>
      </c>
      <c r="BO141" s="169">
        <f t="shared" si="54"/>
        <v>0</v>
      </c>
      <c r="BP141" s="169">
        <f t="shared" si="54"/>
        <v>0</v>
      </c>
      <c r="BQ141" s="169">
        <f t="shared" si="54"/>
        <v>0</v>
      </c>
      <c r="BR141" s="169">
        <f t="shared" si="54"/>
        <v>0</v>
      </c>
      <c r="BS141" s="169">
        <f t="shared" si="54"/>
        <v>0</v>
      </c>
      <c r="BZ141" s="183" t="str">
        <f t="shared" si="43"/>
        <v>lot10</v>
      </c>
      <c r="CB141" s="169">
        <f t="shared" si="55"/>
        <v>0</v>
      </c>
      <c r="CC141" s="169">
        <f t="shared" si="55"/>
        <v>0</v>
      </c>
      <c r="CD141" s="169">
        <f t="shared" si="55"/>
        <v>0</v>
      </c>
      <c r="CE141" s="169">
        <f t="shared" si="55"/>
        <v>0</v>
      </c>
      <c r="CF141" s="169">
        <f t="shared" si="55"/>
        <v>0</v>
      </c>
      <c r="CG141" s="169">
        <f t="shared" si="55"/>
        <v>0</v>
      </c>
      <c r="CH141" s="169">
        <f t="shared" si="55"/>
        <v>0</v>
      </c>
      <c r="CI141" s="169">
        <f t="shared" si="55"/>
        <v>0</v>
      </c>
      <c r="CJ141" s="169">
        <f t="shared" si="55"/>
        <v>0</v>
      </c>
      <c r="CK141" s="169">
        <f t="shared" si="55"/>
        <v>0</v>
      </c>
      <c r="CL141" s="169">
        <f t="shared" si="55"/>
        <v>0</v>
      </c>
      <c r="CM141" s="169">
        <f t="shared" si="55"/>
        <v>0</v>
      </c>
      <c r="CN141" s="169">
        <f t="shared" si="55"/>
        <v>0</v>
      </c>
      <c r="CO141" s="169">
        <f t="shared" si="55"/>
        <v>0</v>
      </c>
      <c r="CP141" s="169">
        <f t="shared" si="55"/>
        <v>0</v>
      </c>
      <c r="CQ141" s="169">
        <f t="shared" si="55"/>
        <v>0</v>
      </c>
      <c r="CR141" s="169">
        <f t="shared" si="55"/>
        <v>0</v>
      </c>
      <c r="CS141" s="169">
        <f t="shared" si="55"/>
        <v>0</v>
      </c>
      <c r="CT141" s="169">
        <f t="shared" si="55"/>
        <v>0</v>
      </c>
      <c r="CU141" s="169">
        <f t="shared" si="55"/>
        <v>0</v>
      </c>
      <c r="CV141" s="169">
        <f t="shared" si="55"/>
        <v>0</v>
      </c>
      <c r="CW141" s="169">
        <f t="shared" si="55"/>
        <v>0</v>
      </c>
      <c r="CX141" s="169">
        <f t="shared" si="55"/>
        <v>0</v>
      </c>
      <c r="CY141" s="169">
        <f t="shared" si="55"/>
        <v>0</v>
      </c>
      <c r="DC141" s="183" t="str">
        <f t="shared" si="44"/>
        <v>lot10</v>
      </c>
      <c r="DE141" s="169">
        <f t="shared" si="56"/>
        <v>0</v>
      </c>
      <c r="DF141" s="169">
        <f t="shared" si="56"/>
        <v>0</v>
      </c>
      <c r="DG141" s="169">
        <f t="shared" si="56"/>
        <v>0</v>
      </c>
      <c r="DH141" s="169">
        <f t="shared" si="56"/>
        <v>0</v>
      </c>
      <c r="DI141" s="169">
        <f t="shared" si="56"/>
        <v>0</v>
      </c>
      <c r="DJ141" s="169">
        <f t="shared" si="56"/>
        <v>0</v>
      </c>
      <c r="DK141" s="169">
        <f t="shared" si="56"/>
        <v>0</v>
      </c>
      <c r="DL141" s="169">
        <f t="shared" si="56"/>
        <v>0</v>
      </c>
      <c r="DM141" s="169">
        <f t="shared" si="56"/>
        <v>0</v>
      </c>
      <c r="DN141" s="169">
        <f t="shared" si="56"/>
        <v>0</v>
      </c>
      <c r="DO141" s="169">
        <f t="shared" si="56"/>
        <v>0</v>
      </c>
      <c r="DP141" s="169">
        <f t="shared" si="56"/>
        <v>0</v>
      </c>
      <c r="DQ141" s="169">
        <f t="shared" si="56"/>
        <v>0</v>
      </c>
      <c r="DR141" s="169">
        <f t="shared" si="56"/>
        <v>0</v>
      </c>
      <c r="DS141" s="169">
        <f t="shared" si="56"/>
        <v>0</v>
      </c>
      <c r="DT141" s="169">
        <f t="shared" si="56"/>
        <v>0</v>
      </c>
      <c r="DU141" s="169">
        <f t="shared" si="56"/>
        <v>0</v>
      </c>
      <c r="DV141" s="169">
        <f t="shared" si="56"/>
        <v>0</v>
      </c>
      <c r="DW141" s="169">
        <f t="shared" si="56"/>
        <v>0</v>
      </c>
      <c r="DX141" s="169">
        <f t="shared" si="56"/>
        <v>0</v>
      </c>
      <c r="DY141" s="169">
        <f t="shared" si="56"/>
        <v>0</v>
      </c>
      <c r="DZ141" s="169">
        <f t="shared" si="56"/>
        <v>0</v>
      </c>
      <c r="EA141" s="169">
        <f t="shared" si="56"/>
        <v>0</v>
      </c>
      <c r="EB141" s="169">
        <f t="shared" si="56"/>
        <v>0</v>
      </c>
    </row>
    <row r="142" spans="1:132" x14ac:dyDescent="0.25">
      <c r="B142" s="32" t="s">
        <v>1279</v>
      </c>
      <c r="C142" s="169">
        <f>SUM(G147:G150)</f>
        <v>23</v>
      </c>
      <c r="D142" s="259">
        <f t="shared" si="50"/>
        <v>0</v>
      </c>
      <c r="AT142" s="19" t="s">
        <v>847</v>
      </c>
      <c r="AV142" s="169">
        <f>COUNTIF(AV$132:AV$141,23)</f>
        <v>0</v>
      </c>
      <c r="AW142" s="169">
        <f t="shared" ref="AW142:BS142" si="58">COUNTIF(AW$132:AW$141,23)</f>
        <v>0</v>
      </c>
      <c r="AX142" s="169">
        <f t="shared" si="58"/>
        <v>0</v>
      </c>
      <c r="AY142" s="169">
        <f t="shared" si="58"/>
        <v>0</v>
      </c>
      <c r="AZ142" s="169">
        <f t="shared" si="58"/>
        <v>0</v>
      </c>
      <c r="BA142" s="169">
        <f t="shared" si="58"/>
        <v>0</v>
      </c>
      <c r="BB142" s="169">
        <f t="shared" si="58"/>
        <v>0</v>
      </c>
      <c r="BC142" s="169">
        <f t="shared" si="58"/>
        <v>0</v>
      </c>
      <c r="BD142" s="169">
        <f t="shared" si="58"/>
        <v>0</v>
      </c>
      <c r="BE142" s="169">
        <f t="shared" si="58"/>
        <v>0</v>
      </c>
      <c r="BF142" s="169">
        <f t="shared" si="58"/>
        <v>0</v>
      </c>
      <c r="BG142" s="169">
        <f t="shared" si="58"/>
        <v>0</v>
      </c>
      <c r="BH142" s="169">
        <f t="shared" si="58"/>
        <v>0</v>
      </c>
      <c r="BI142" s="169">
        <f t="shared" si="58"/>
        <v>0</v>
      </c>
      <c r="BJ142" s="169">
        <f t="shared" si="58"/>
        <v>0</v>
      </c>
      <c r="BK142" s="169">
        <f t="shared" si="58"/>
        <v>0</v>
      </c>
      <c r="BL142" s="169">
        <f t="shared" si="58"/>
        <v>0</v>
      </c>
      <c r="BM142" s="169">
        <f t="shared" si="58"/>
        <v>0</v>
      </c>
      <c r="BN142" s="169">
        <f t="shared" si="58"/>
        <v>0</v>
      </c>
      <c r="BO142" s="169">
        <f t="shared" si="58"/>
        <v>0</v>
      </c>
      <c r="BP142" s="169">
        <f t="shared" si="58"/>
        <v>0</v>
      </c>
      <c r="BQ142" s="169">
        <f t="shared" si="58"/>
        <v>0</v>
      </c>
      <c r="BR142" s="169">
        <f t="shared" si="58"/>
        <v>0</v>
      </c>
      <c r="BS142" s="169">
        <f t="shared" si="58"/>
        <v>0</v>
      </c>
      <c r="BZ142" s="19" t="s">
        <v>847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59">COUNTIF(CD$132:CD$141,23)</f>
        <v>0</v>
      </c>
      <c r="CE142" s="169">
        <f t="shared" si="59"/>
        <v>0</v>
      </c>
      <c r="CF142" s="169">
        <f t="shared" si="59"/>
        <v>0</v>
      </c>
      <c r="CG142" s="169">
        <f t="shared" si="59"/>
        <v>0</v>
      </c>
      <c r="CH142" s="169">
        <f t="shared" si="59"/>
        <v>0</v>
      </c>
      <c r="CI142" s="169">
        <f t="shared" si="59"/>
        <v>0</v>
      </c>
      <c r="CJ142" s="169">
        <f t="shared" si="59"/>
        <v>0</v>
      </c>
      <c r="CK142" s="169">
        <f t="shared" si="59"/>
        <v>0</v>
      </c>
      <c r="CL142" s="169">
        <f t="shared" si="59"/>
        <v>0</v>
      </c>
      <c r="CM142" s="169">
        <f t="shared" si="59"/>
        <v>0</v>
      </c>
      <c r="CN142" s="169">
        <f t="shared" si="59"/>
        <v>0</v>
      </c>
      <c r="CO142" s="169">
        <f t="shared" si="59"/>
        <v>0</v>
      </c>
      <c r="CP142" s="169">
        <f t="shared" si="59"/>
        <v>0</v>
      </c>
      <c r="CQ142" s="169">
        <f t="shared" si="59"/>
        <v>0</v>
      </c>
      <c r="CR142" s="169">
        <f t="shared" si="59"/>
        <v>0</v>
      </c>
      <c r="CS142" s="169">
        <f t="shared" si="59"/>
        <v>0</v>
      </c>
      <c r="CT142" s="169">
        <f t="shared" si="59"/>
        <v>0</v>
      </c>
      <c r="CU142" s="169">
        <f t="shared" si="59"/>
        <v>0</v>
      </c>
      <c r="CV142" s="169">
        <f t="shared" si="59"/>
        <v>0</v>
      </c>
      <c r="CW142" s="169">
        <f t="shared" si="59"/>
        <v>0</v>
      </c>
      <c r="CX142" s="169">
        <f t="shared" si="59"/>
        <v>0</v>
      </c>
      <c r="CY142" s="169">
        <f t="shared" si="59"/>
        <v>0</v>
      </c>
      <c r="DC142" s="19" t="s">
        <v>847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60">COUNTIF(DG$132:DG$141,23)</f>
        <v>0</v>
      </c>
      <c r="DH142" s="169">
        <f t="shared" si="60"/>
        <v>0</v>
      </c>
      <c r="DI142" s="169">
        <f t="shared" si="60"/>
        <v>0</v>
      </c>
      <c r="DJ142" s="169">
        <f t="shared" si="60"/>
        <v>0</v>
      </c>
      <c r="DK142" s="169">
        <f t="shared" si="60"/>
        <v>0</v>
      </c>
      <c r="DL142" s="169">
        <f t="shared" si="60"/>
        <v>0</v>
      </c>
      <c r="DM142" s="169">
        <f t="shared" si="60"/>
        <v>0</v>
      </c>
      <c r="DN142" s="169">
        <f t="shared" si="60"/>
        <v>0</v>
      </c>
      <c r="DO142" s="169">
        <f t="shared" si="60"/>
        <v>0</v>
      </c>
      <c r="DP142" s="169">
        <f t="shared" si="60"/>
        <v>0</v>
      </c>
      <c r="DQ142" s="169">
        <f t="shared" si="60"/>
        <v>0</v>
      </c>
      <c r="DR142" s="169">
        <f t="shared" si="60"/>
        <v>0</v>
      </c>
      <c r="DS142" s="169">
        <f t="shared" si="60"/>
        <v>0</v>
      </c>
      <c r="DT142" s="169">
        <f t="shared" si="60"/>
        <v>0</v>
      </c>
      <c r="DU142" s="169">
        <f t="shared" si="60"/>
        <v>0</v>
      </c>
      <c r="DV142" s="169">
        <f t="shared" si="60"/>
        <v>0</v>
      </c>
      <c r="DW142" s="169">
        <f t="shared" si="60"/>
        <v>0</v>
      </c>
      <c r="DX142" s="169">
        <f t="shared" si="60"/>
        <v>0</v>
      </c>
      <c r="DY142" s="169">
        <f t="shared" si="60"/>
        <v>0</v>
      </c>
      <c r="DZ142" s="169">
        <f t="shared" si="60"/>
        <v>0</v>
      </c>
      <c r="EA142" s="169">
        <f t="shared" si="60"/>
        <v>0</v>
      </c>
      <c r="EB142" s="169">
        <f t="shared" si="60"/>
        <v>0</v>
      </c>
    </row>
    <row r="143" spans="1:132" x14ac:dyDescent="0.25">
      <c r="B143" s="32" t="s">
        <v>1280</v>
      </c>
      <c r="C143" s="169">
        <f>G151+G153</f>
        <v>8</v>
      </c>
      <c r="D143" s="259">
        <f t="shared" si="50"/>
        <v>0</v>
      </c>
      <c r="AT143" s="19" t="s">
        <v>850</v>
      </c>
      <c r="AV143" s="169">
        <f>COUNTIF(AV$132:AV$141,13)</f>
        <v>0</v>
      </c>
      <c r="AW143" s="169">
        <f t="shared" ref="AW143:BS143" si="61">COUNTIF(AW$132:AW$141,13)</f>
        <v>0</v>
      </c>
      <c r="AX143" s="169">
        <f t="shared" si="61"/>
        <v>0</v>
      </c>
      <c r="AY143" s="169">
        <f t="shared" si="61"/>
        <v>0</v>
      </c>
      <c r="AZ143" s="169">
        <f t="shared" si="61"/>
        <v>0</v>
      </c>
      <c r="BA143" s="169">
        <f t="shared" si="61"/>
        <v>0</v>
      </c>
      <c r="BB143" s="169">
        <f t="shared" si="61"/>
        <v>0</v>
      </c>
      <c r="BC143" s="169">
        <f t="shared" si="61"/>
        <v>0</v>
      </c>
      <c r="BD143" s="169">
        <f t="shared" si="61"/>
        <v>0</v>
      </c>
      <c r="BE143" s="169">
        <f t="shared" si="61"/>
        <v>0</v>
      </c>
      <c r="BF143" s="169">
        <f t="shared" si="61"/>
        <v>0</v>
      </c>
      <c r="BG143" s="169">
        <f t="shared" si="61"/>
        <v>0</v>
      </c>
      <c r="BH143" s="169">
        <f t="shared" si="61"/>
        <v>0</v>
      </c>
      <c r="BI143" s="169">
        <f t="shared" si="61"/>
        <v>0</v>
      </c>
      <c r="BJ143" s="169">
        <f t="shared" si="61"/>
        <v>0</v>
      </c>
      <c r="BK143" s="169">
        <f t="shared" si="61"/>
        <v>0</v>
      </c>
      <c r="BL143" s="169">
        <f t="shared" si="61"/>
        <v>0</v>
      </c>
      <c r="BM143" s="169">
        <f t="shared" si="61"/>
        <v>0</v>
      </c>
      <c r="BN143" s="169">
        <f t="shared" si="61"/>
        <v>0</v>
      </c>
      <c r="BO143" s="169">
        <f t="shared" si="61"/>
        <v>0</v>
      </c>
      <c r="BP143" s="169">
        <f t="shared" si="61"/>
        <v>0</v>
      </c>
      <c r="BQ143" s="169">
        <f t="shared" si="61"/>
        <v>0</v>
      </c>
      <c r="BR143" s="169">
        <f t="shared" si="61"/>
        <v>0</v>
      </c>
      <c r="BS143" s="169">
        <f t="shared" si="61"/>
        <v>0</v>
      </c>
      <c r="BZ143" s="19" t="s">
        <v>850</v>
      </c>
      <c r="CB143" s="169">
        <f>COUNTIF(CB$132:CB$141,13)</f>
        <v>0</v>
      </c>
      <c r="CC143" s="169">
        <f t="shared" ref="CC143:CY143" si="62">COUNTIF(CC$132:CC$141,13)</f>
        <v>0</v>
      </c>
      <c r="CD143" s="169">
        <f t="shared" si="62"/>
        <v>0</v>
      </c>
      <c r="CE143" s="169">
        <f t="shared" si="62"/>
        <v>0</v>
      </c>
      <c r="CF143" s="169">
        <f t="shared" si="62"/>
        <v>0</v>
      </c>
      <c r="CG143" s="169">
        <f t="shared" si="62"/>
        <v>0</v>
      </c>
      <c r="CH143" s="169">
        <f t="shared" si="62"/>
        <v>0</v>
      </c>
      <c r="CI143" s="169">
        <f t="shared" si="62"/>
        <v>0</v>
      </c>
      <c r="CJ143" s="169">
        <f t="shared" si="62"/>
        <v>0</v>
      </c>
      <c r="CK143" s="169">
        <f t="shared" si="62"/>
        <v>0</v>
      </c>
      <c r="CL143" s="169">
        <f t="shared" si="62"/>
        <v>0</v>
      </c>
      <c r="CM143" s="169">
        <f t="shared" si="62"/>
        <v>0</v>
      </c>
      <c r="CN143" s="169">
        <f t="shared" si="62"/>
        <v>0</v>
      </c>
      <c r="CO143" s="169">
        <f t="shared" si="62"/>
        <v>0</v>
      </c>
      <c r="CP143" s="169">
        <f t="shared" si="62"/>
        <v>0</v>
      </c>
      <c r="CQ143" s="169">
        <f t="shared" si="62"/>
        <v>0</v>
      </c>
      <c r="CR143" s="169">
        <f t="shared" si="62"/>
        <v>0</v>
      </c>
      <c r="CS143" s="169">
        <f t="shared" si="62"/>
        <v>0</v>
      </c>
      <c r="CT143" s="169">
        <f t="shared" si="62"/>
        <v>0</v>
      </c>
      <c r="CU143" s="169">
        <f t="shared" si="62"/>
        <v>0</v>
      </c>
      <c r="CV143" s="169">
        <f t="shared" si="62"/>
        <v>0</v>
      </c>
      <c r="CW143" s="169">
        <f t="shared" si="62"/>
        <v>0</v>
      </c>
      <c r="CX143" s="169">
        <f t="shared" si="62"/>
        <v>0</v>
      </c>
      <c r="CY143" s="169">
        <f t="shared" si="62"/>
        <v>0</v>
      </c>
      <c r="DC143" s="19" t="s">
        <v>850</v>
      </c>
      <c r="DE143" s="169">
        <f>COUNTIF(DE$132:DE$141,13)</f>
        <v>0</v>
      </c>
      <c r="DF143" s="169">
        <f t="shared" ref="DF143:EB143" si="63">COUNTIF(DF$132:DF$141,13)</f>
        <v>0</v>
      </c>
      <c r="DG143" s="169">
        <f t="shared" si="63"/>
        <v>0</v>
      </c>
      <c r="DH143" s="169">
        <f t="shared" si="63"/>
        <v>0</v>
      </c>
      <c r="DI143" s="169">
        <f t="shared" si="63"/>
        <v>0</v>
      </c>
      <c r="DJ143" s="169">
        <f t="shared" si="63"/>
        <v>0</v>
      </c>
      <c r="DK143" s="169">
        <f t="shared" si="63"/>
        <v>0</v>
      </c>
      <c r="DL143" s="169">
        <f t="shared" si="63"/>
        <v>0</v>
      </c>
      <c r="DM143" s="169">
        <f t="shared" si="63"/>
        <v>0</v>
      </c>
      <c r="DN143" s="169">
        <f t="shared" si="63"/>
        <v>0</v>
      </c>
      <c r="DO143" s="169">
        <f t="shared" si="63"/>
        <v>0</v>
      </c>
      <c r="DP143" s="169">
        <f t="shared" si="63"/>
        <v>0</v>
      </c>
      <c r="DQ143" s="169">
        <f t="shared" si="63"/>
        <v>0</v>
      </c>
      <c r="DR143" s="169">
        <f t="shared" si="63"/>
        <v>0</v>
      </c>
      <c r="DS143" s="169">
        <f t="shared" si="63"/>
        <v>0</v>
      </c>
      <c r="DT143" s="169">
        <f t="shared" si="63"/>
        <v>0</v>
      </c>
      <c r="DU143" s="169">
        <f t="shared" si="63"/>
        <v>0</v>
      </c>
      <c r="DV143" s="169">
        <f t="shared" si="63"/>
        <v>0</v>
      </c>
      <c r="DW143" s="169">
        <f t="shared" si="63"/>
        <v>0</v>
      </c>
      <c r="DX143" s="169">
        <f t="shared" si="63"/>
        <v>0</v>
      </c>
      <c r="DY143" s="169">
        <f t="shared" si="63"/>
        <v>0</v>
      </c>
      <c r="DZ143" s="169">
        <f t="shared" si="63"/>
        <v>0</v>
      </c>
      <c r="EA143" s="169">
        <f t="shared" si="63"/>
        <v>0</v>
      </c>
      <c r="EB143" s="169">
        <f t="shared" si="63"/>
        <v>0</v>
      </c>
    </row>
    <row r="144" spans="1:132" x14ac:dyDescent="0.25">
      <c r="B144" s="32" t="s">
        <v>1281</v>
      </c>
      <c r="C144" s="169">
        <f>G152+G154</f>
        <v>1</v>
      </c>
      <c r="D144" s="259">
        <f t="shared" si="50"/>
        <v>0</v>
      </c>
      <c r="AT144" s="19" t="s">
        <v>852</v>
      </c>
      <c r="AV144" s="169">
        <f>COUNTIF(AV$132:AV$141,22)</f>
        <v>0</v>
      </c>
      <c r="AW144" s="169">
        <f t="shared" ref="AW144:BS144" si="64">COUNTIF(AW$132:AW$141,22)</f>
        <v>0</v>
      </c>
      <c r="AX144" s="169">
        <f t="shared" si="64"/>
        <v>0</v>
      </c>
      <c r="AY144" s="169">
        <f t="shared" si="64"/>
        <v>0</v>
      </c>
      <c r="AZ144" s="169">
        <f t="shared" si="64"/>
        <v>0</v>
      </c>
      <c r="BA144" s="169">
        <f t="shared" si="64"/>
        <v>0</v>
      </c>
      <c r="BB144" s="169">
        <f t="shared" si="64"/>
        <v>0</v>
      </c>
      <c r="BC144" s="169">
        <f t="shared" si="64"/>
        <v>0</v>
      </c>
      <c r="BD144" s="169">
        <f t="shared" si="64"/>
        <v>0</v>
      </c>
      <c r="BE144" s="169">
        <f t="shared" si="64"/>
        <v>0</v>
      </c>
      <c r="BF144" s="169">
        <f t="shared" si="64"/>
        <v>0</v>
      </c>
      <c r="BG144" s="169">
        <f t="shared" si="64"/>
        <v>0</v>
      </c>
      <c r="BH144" s="169">
        <f t="shared" si="64"/>
        <v>0</v>
      </c>
      <c r="BI144" s="169">
        <f t="shared" si="64"/>
        <v>0</v>
      </c>
      <c r="BJ144" s="169">
        <f t="shared" si="64"/>
        <v>0</v>
      </c>
      <c r="BK144" s="169">
        <f t="shared" si="64"/>
        <v>0</v>
      </c>
      <c r="BL144" s="169">
        <f t="shared" si="64"/>
        <v>0</v>
      </c>
      <c r="BM144" s="169">
        <f t="shared" si="64"/>
        <v>0</v>
      </c>
      <c r="BN144" s="169">
        <f t="shared" si="64"/>
        <v>0</v>
      </c>
      <c r="BO144" s="169">
        <f t="shared" si="64"/>
        <v>0</v>
      </c>
      <c r="BP144" s="169">
        <f t="shared" si="64"/>
        <v>0</v>
      </c>
      <c r="BQ144" s="169">
        <f t="shared" si="64"/>
        <v>0</v>
      </c>
      <c r="BR144" s="169">
        <f t="shared" si="64"/>
        <v>0</v>
      </c>
      <c r="BS144" s="169">
        <f t="shared" si="64"/>
        <v>0</v>
      </c>
      <c r="BZ144" s="19" t="s">
        <v>852</v>
      </c>
      <c r="CB144" s="169">
        <f>COUNTIF(CB$132:CB$141,22)</f>
        <v>0</v>
      </c>
      <c r="CC144" s="169">
        <f t="shared" ref="CC144:CY144" si="65">COUNTIF(CC$132:CC$141,22)</f>
        <v>0</v>
      </c>
      <c r="CD144" s="169">
        <f t="shared" si="65"/>
        <v>0</v>
      </c>
      <c r="CE144" s="169">
        <f t="shared" si="65"/>
        <v>0</v>
      </c>
      <c r="CF144" s="169">
        <f t="shared" si="65"/>
        <v>0</v>
      </c>
      <c r="CG144" s="169">
        <f t="shared" si="65"/>
        <v>0</v>
      </c>
      <c r="CH144" s="169">
        <f t="shared" si="65"/>
        <v>0</v>
      </c>
      <c r="CI144" s="169">
        <f t="shared" si="65"/>
        <v>0</v>
      </c>
      <c r="CJ144" s="169">
        <f t="shared" si="65"/>
        <v>0</v>
      </c>
      <c r="CK144" s="169">
        <f t="shared" si="65"/>
        <v>0</v>
      </c>
      <c r="CL144" s="169">
        <f t="shared" si="65"/>
        <v>0</v>
      </c>
      <c r="CM144" s="169">
        <f t="shared" si="65"/>
        <v>0</v>
      </c>
      <c r="CN144" s="169">
        <f t="shared" si="65"/>
        <v>0</v>
      </c>
      <c r="CO144" s="169">
        <f t="shared" si="65"/>
        <v>0</v>
      </c>
      <c r="CP144" s="169">
        <f t="shared" si="65"/>
        <v>0</v>
      </c>
      <c r="CQ144" s="169">
        <f t="shared" si="65"/>
        <v>0</v>
      </c>
      <c r="CR144" s="169">
        <f t="shared" si="65"/>
        <v>0</v>
      </c>
      <c r="CS144" s="169">
        <f t="shared" si="65"/>
        <v>0</v>
      </c>
      <c r="CT144" s="169">
        <f t="shared" si="65"/>
        <v>0</v>
      </c>
      <c r="CU144" s="169">
        <f t="shared" si="65"/>
        <v>0</v>
      </c>
      <c r="CV144" s="169">
        <f t="shared" si="65"/>
        <v>0</v>
      </c>
      <c r="CW144" s="169">
        <f t="shared" si="65"/>
        <v>0</v>
      </c>
      <c r="CX144" s="169">
        <f t="shared" si="65"/>
        <v>0</v>
      </c>
      <c r="CY144" s="169">
        <f t="shared" si="65"/>
        <v>0</v>
      </c>
      <c r="DC144" s="19" t="s">
        <v>852</v>
      </c>
      <c r="DE144" s="169">
        <f>COUNTIF(DE$132:DE$141,22)</f>
        <v>0</v>
      </c>
      <c r="DF144" s="169">
        <f t="shared" ref="DF144:EB144" si="66">COUNTIF(DF$132:DF$141,22)</f>
        <v>0</v>
      </c>
      <c r="DG144" s="169">
        <f t="shared" si="66"/>
        <v>0</v>
      </c>
      <c r="DH144" s="169">
        <f t="shared" si="66"/>
        <v>0</v>
      </c>
      <c r="DI144" s="169">
        <f t="shared" si="66"/>
        <v>0</v>
      </c>
      <c r="DJ144" s="169">
        <f t="shared" si="66"/>
        <v>0</v>
      </c>
      <c r="DK144" s="169">
        <f t="shared" si="66"/>
        <v>0</v>
      </c>
      <c r="DL144" s="169">
        <f t="shared" si="66"/>
        <v>0</v>
      </c>
      <c r="DM144" s="169">
        <f t="shared" si="66"/>
        <v>0</v>
      </c>
      <c r="DN144" s="169">
        <f t="shared" si="66"/>
        <v>0</v>
      </c>
      <c r="DO144" s="169">
        <f t="shared" si="66"/>
        <v>0</v>
      </c>
      <c r="DP144" s="169">
        <f t="shared" si="66"/>
        <v>0</v>
      </c>
      <c r="DQ144" s="169">
        <f t="shared" si="66"/>
        <v>0</v>
      </c>
      <c r="DR144" s="169">
        <f t="shared" si="66"/>
        <v>0</v>
      </c>
      <c r="DS144" s="169">
        <f t="shared" si="66"/>
        <v>0</v>
      </c>
      <c r="DT144" s="169">
        <f t="shared" si="66"/>
        <v>0</v>
      </c>
      <c r="DU144" s="169">
        <f t="shared" si="66"/>
        <v>0</v>
      </c>
      <c r="DV144" s="169">
        <f t="shared" si="66"/>
        <v>0</v>
      </c>
      <c r="DW144" s="169">
        <f t="shared" si="66"/>
        <v>0</v>
      </c>
      <c r="DX144" s="169">
        <f t="shared" si="66"/>
        <v>0</v>
      </c>
      <c r="DY144" s="169">
        <f t="shared" si="66"/>
        <v>0</v>
      </c>
      <c r="DZ144" s="169">
        <f t="shared" si="66"/>
        <v>0</v>
      </c>
      <c r="EA144" s="169">
        <f>COUNTIF(EA$132:EA$141,22)</f>
        <v>0</v>
      </c>
      <c r="EB144" s="169">
        <f t="shared" si="66"/>
        <v>0</v>
      </c>
    </row>
    <row r="145" spans="1:132" x14ac:dyDescent="0.25">
      <c r="B145" s="32" t="s">
        <v>1282</v>
      </c>
      <c r="C145" s="169">
        <f>G155+G156</f>
        <v>0</v>
      </c>
      <c r="D145" s="259">
        <f t="shared" si="50"/>
        <v>0</v>
      </c>
      <c r="AT145" s="19" t="s">
        <v>854</v>
      </c>
      <c r="AV145" s="169">
        <f>COUNTIF(AV$132:AV$141,12)</f>
        <v>0</v>
      </c>
      <c r="AW145" s="169">
        <f t="shared" ref="AW145:BS145" si="67">COUNTIF(AW$132:AW$141,12)</f>
        <v>0</v>
      </c>
      <c r="AX145" s="169">
        <f t="shared" si="67"/>
        <v>0</v>
      </c>
      <c r="AY145" s="169">
        <f t="shared" si="67"/>
        <v>0</v>
      </c>
      <c r="AZ145" s="169">
        <f t="shared" si="67"/>
        <v>0</v>
      </c>
      <c r="BA145" s="169">
        <f t="shared" si="67"/>
        <v>0</v>
      </c>
      <c r="BB145" s="169">
        <f t="shared" si="67"/>
        <v>0</v>
      </c>
      <c r="BC145" s="169">
        <f t="shared" si="67"/>
        <v>0</v>
      </c>
      <c r="BD145" s="169">
        <f t="shared" si="67"/>
        <v>0</v>
      </c>
      <c r="BE145" s="169">
        <f t="shared" si="67"/>
        <v>0</v>
      </c>
      <c r="BF145" s="169">
        <f t="shared" si="67"/>
        <v>0</v>
      </c>
      <c r="BG145" s="169">
        <f t="shared" si="67"/>
        <v>0</v>
      </c>
      <c r="BH145" s="169">
        <f t="shared" si="67"/>
        <v>0</v>
      </c>
      <c r="BI145" s="169">
        <f t="shared" si="67"/>
        <v>0</v>
      </c>
      <c r="BJ145" s="169">
        <f t="shared" si="67"/>
        <v>0</v>
      </c>
      <c r="BK145" s="169">
        <f t="shared" si="67"/>
        <v>0</v>
      </c>
      <c r="BL145" s="169">
        <f t="shared" si="67"/>
        <v>0</v>
      </c>
      <c r="BM145" s="169">
        <f t="shared" si="67"/>
        <v>0</v>
      </c>
      <c r="BN145" s="169">
        <f t="shared" si="67"/>
        <v>0</v>
      </c>
      <c r="BO145" s="169">
        <f t="shared" si="67"/>
        <v>0</v>
      </c>
      <c r="BP145" s="169">
        <f t="shared" si="67"/>
        <v>0</v>
      </c>
      <c r="BQ145" s="169">
        <f t="shared" si="67"/>
        <v>0</v>
      </c>
      <c r="BR145" s="169">
        <f t="shared" si="67"/>
        <v>0</v>
      </c>
      <c r="BS145" s="169">
        <f t="shared" si="67"/>
        <v>0</v>
      </c>
      <c r="BZ145" s="19" t="s">
        <v>854</v>
      </c>
      <c r="CB145" s="169">
        <f>COUNTIF(CB$132:CB$141,12)</f>
        <v>0</v>
      </c>
      <c r="CC145" s="169">
        <f t="shared" ref="CC145:CY145" si="68">COUNTIF(CC$132:CC$141,12)</f>
        <v>0</v>
      </c>
      <c r="CD145" s="169">
        <f t="shared" si="68"/>
        <v>0</v>
      </c>
      <c r="CE145" s="169">
        <f t="shared" si="68"/>
        <v>0</v>
      </c>
      <c r="CF145" s="169">
        <f t="shared" si="68"/>
        <v>0</v>
      </c>
      <c r="CG145" s="169">
        <f t="shared" si="68"/>
        <v>0</v>
      </c>
      <c r="CH145" s="169">
        <f t="shared" si="68"/>
        <v>0</v>
      </c>
      <c r="CI145" s="169">
        <f t="shared" si="68"/>
        <v>0</v>
      </c>
      <c r="CJ145" s="169">
        <f t="shared" si="68"/>
        <v>0</v>
      </c>
      <c r="CK145" s="169">
        <f t="shared" si="68"/>
        <v>0</v>
      </c>
      <c r="CL145" s="169">
        <f t="shared" si="68"/>
        <v>0</v>
      </c>
      <c r="CM145" s="169">
        <f t="shared" si="68"/>
        <v>0</v>
      </c>
      <c r="CN145" s="169">
        <f t="shared" si="68"/>
        <v>0</v>
      </c>
      <c r="CO145" s="169">
        <f t="shared" si="68"/>
        <v>0</v>
      </c>
      <c r="CP145" s="169">
        <f t="shared" si="68"/>
        <v>0</v>
      </c>
      <c r="CQ145" s="169">
        <f t="shared" si="68"/>
        <v>0</v>
      </c>
      <c r="CR145" s="169">
        <f t="shared" si="68"/>
        <v>0</v>
      </c>
      <c r="CS145" s="169">
        <f t="shared" si="68"/>
        <v>0</v>
      </c>
      <c r="CT145" s="169">
        <f t="shared" si="68"/>
        <v>0</v>
      </c>
      <c r="CU145" s="169">
        <f t="shared" si="68"/>
        <v>0</v>
      </c>
      <c r="CV145" s="169">
        <f t="shared" si="68"/>
        <v>0</v>
      </c>
      <c r="CW145" s="169">
        <f t="shared" si="68"/>
        <v>0</v>
      </c>
      <c r="CX145" s="169">
        <f t="shared" si="68"/>
        <v>0</v>
      </c>
      <c r="CY145" s="169">
        <f t="shared" si="68"/>
        <v>0</v>
      </c>
      <c r="DC145" s="19" t="s">
        <v>854</v>
      </c>
      <c r="DE145" s="169">
        <f>COUNTIF(DE$132:DE$141,12)</f>
        <v>0</v>
      </c>
      <c r="DF145" s="169">
        <f t="shared" ref="DF145:EB145" si="69">COUNTIF(DF$132:DF$141,12)</f>
        <v>0</v>
      </c>
      <c r="DG145" s="169">
        <f t="shared" si="69"/>
        <v>0</v>
      </c>
      <c r="DH145" s="169">
        <f t="shared" si="69"/>
        <v>0</v>
      </c>
      <c r="DI145" s="169">
        <f t="shared" si="69"/>
        <v>0</v>
      </c>
      <c r="DJ145" s="169">
        <f t="shared" si="69"/>
        <v>0</v>
      </c>
      <c r="DK145" s="169">
        <f t="shared" si="69"/>
        <v>0</v>
      </c>
      <c r="DL145" s="169">
        <f t="shared" si="69"/>
        <v>0</v>
      </c>
      <c r="DM145" s="169">
        <f t="shared" si="69"/>
        <v>0</v>
      </c>
      <c r="DN145" s="169">
        <f t="shared" si="69"/>
        <v>0</v>
      </c>
      <c r="DO145" s="169">
        <f t="shared" si="69"/>
        <v>0</v>
      </c>
      <c r="DP145" s="169">
        <f t="shared" si="69"/>
        <v>0</v>
      </c>
      <c r="DQ145" s="169">
        <f t="shared" si="69"/>
        <v>0</v>
      </c>
      <c r="DR145" s="169">
        <f t="shared" si="69"/>
        <v>0</v>
      </c>
      <c r="DS145" s="169">
        <f t="shared" si="69"/>
        <v>0</v>
      </c>
      <c r="DT145" s="169">
        <f t="shared" si="69"/>
        <v>0</v>
      </c>
      <c r="DU145" s="169">
        <f t="shared" si="69"/>
        <v>0</v>
      </c>
      <c r="DV145" s="169">
        <f t="shared" si="69"/>
        <v>0</v>
      </c>
      <c r="DW145" s="169">
        <f t="shared" si="69"/>
        <v>0</v>
      </c>
      <c r="DX145" s="169">
        <f t="shared" si="69"/>
        <v>0</v>
      </c>
      <c r="DY145" s="169">
        <f t="shared" si="69"/>
        <v>0</v>
      </c>
      <c r="DZ145" s="169">
        <f t="shared" si="69"/>
        <v>0</v>
      </c>
      <c r="EA145" s="169">
        <f t="shared" si="69"/>
        <v>0</v>
      </c>
      <c r="EB145" s="169">
        <f t="shared" si="69"/>
        <v>0</v>
      </c>
    </row>
    <row r="146" spans="1:132" x14ac:dyDescent="0.25">
      <c r="B146" s="32" t="s">
        <v>1283</v>
      </c>
      <c r="C146" s="169">
        <f>IF(Troupeau!D3="EQ",'Calcul éco'!D9+'Calcul éco'!D10,0)+IF(Troupeau!C3="EQ",'Calcul éco'!C9+'Calcul éco'!C10,0)</f>
        <v>0</v>
      </c>
      <c r="D146" s="259">
        <f t="shared" si="50"/>
        <v>0</v>
      </c>
      <c r="F146" s="2" t="s">
        <v>1284</v>
      </c>
      <c r="AT146" s="40" t="s">
        <v>856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1285</v>
      </c>
      <c r="C147" s="169">
        <f>IF(Troupeau!D3="EQ",'Calcul éco'!D13+'Calcul éco'!D14,0)+IF(Troupeau!C3="EQ",'Calcul éco'!C13+'Calcul éco'!C14,0)</f>
        <v>0</v>
      </c>
      <c r="D147" s="259">
        <f t="shared" si="50"/>
        <v>0</v>
      </c>
      <c r="F147" s="14" t="s">
        <v>1286</v>
      </c>
      <c r="G147">
        <f>IF(Troupeau!B$3="BV",'Calcul éco'!B9,0)</f>
        <v>16</v>
      </c>
      <c r="AT147" s="40" t="s">
        <v>858</v>
      </c>
      <c r="AV147" s="184">
        <f>IF(AV146=0,0,HLOOKUP(AV146,[1]Trav!$C$39:$G$59,$AU$166))</f>
        <v>0</v>
      </c>
      <c r="AW147" s="184">
        <f>IF(AW146=0,0,HLOOKUP(AW146,[1]Trav!$C$39:$G$59,$AU$166))</f>
        <v>0</v>
      </c>
      <c r="AX147" s="184">
        <f>IF(AX146=0,0,HLOOKUP(AX146,[1]Trav!$C$39:$G$59,$AU$166))</f>
        <v>0</v>
      </c>
      <c r="AY147" s="184">
        <f>IF(AY146=0,0,HLOOKUP(AY146,[1]Trav!$C$39:$G$59,$AU$166))</f>
        <v>0</v>
      </c>
      <c r="AZ147" s="184">
        <f>IF(AZ146=0,0,HLOOKUP(AZ146,[1]Trav!$C$39:$G$59,$AU$166))</f>
        <v>0</v>
      </c>
      <c r="BA147" s="184">
        <f>IF(BA146=0,0,HLOOKUP(BA146,[1]Trav!$C$39:$G$59,$AU$166))</f>
        <v>0</v>
      </c>
      <c r="BB147" s="184">
        <f>IF(BB146=0,0,HLOOKUP(BB146,[1]Trav!$C$39:$G$59,$AU$166))</f>
        <v>0</v>
      </c>
      <c r="BC147" s="184">
        <f>IF(BC146=0,0,HLOOKUP(BC146,[1]Trav!$C$39:$G$59,$AU$166))</f>
        <v>0</v>
      </c>
      <c r="BD147" s="184">
        <f>IF(BD146=0,0,HLOOKUP(BD146,[1]Trav!$C$39:$G$59,$AU$166))</f>
        <v>0</v>
      </c>
      <c r="BE147" s="184">
        <f>IF(BE146=0,0,HLOOKUP(BE146,[1]Trav!$C$39:$G$59,$AU$166))</f>
        <v>0</v>
      </c>
      <c r="BF147" s="184">
        <f>IF(BF146=0,0,HLOOKUP(BF146,[1]Trav!$C$39:$G$59,$AU$166))</f>
        <v>0</v>
      </c>
      <c r="BG147" s="184">
        <f>IF(BG146=0,0,HLOOKUP(BG146,[1]Trav!$C$39:$G$59,$AU$166))</f>
        <v>0</v>
      </c>
      <c r="BH147" s="184">
        <f>IF(BH146=0,0,HLOOKUP(BH146,[1]Trav!$C$39:$G$59,$AU$166))</f>
        <v>0</v>
      </c>
      <c r="BI147" s="184">
        <f>IF(BI146=0,0,HLOOKUP(BI146,[1]Trav!$C$39:$G$59,$AU$166))</f>
        <v>0</v>
      </c>
      <c r="BJ147" s="184">
        <f>IF(BJ146=0,0,HLOOKUP(BJ146,[1]Trav!$C$39:$G$59,$AU$166))</f>
        <v>0</v>
      </c>
      <c r="BK147" s="184">
        <f>IF(BK146=0,0,HLOOKUP(BK146,[1]Trav!$C$39:$G$59,$AU$166))</f>
        <v>0</v>
      </c>
      <c r="BL147" s="184">
        <f>IF(BL146=0,0,HLOOKUP(BL146,[1]Trav!$C$39:$G$59,$AU$166))</f>
        <v>0</v>
      </c>
      <c r="BM147" s="184">
        <f>IF(BM146=0,0,HLOOKUP(BM146,[1]Trav!$C$39:$G$59,$AU$166))</f>
        <v>0</v>
      </c>
      <c r="BN147" s="184">
        <f>IF(BN146=0,0,HLOOKUP(BN146,[1]Trav!$C$39:$G$59,$AU$166))</f>
        <v>0</v>
      </c>
      <c r="BO147" s="184">
        <f>IF(BO146=0,0,HLOOKUP(BO146,[1]Trav!$C$39:$G$59,$AU$166))</f>
        <v>0</v>
      </c>
      <c r="BP147" s="184">
        <f>IF(BP146=0,0,HLOOKUP(BP146,[1]Trav!$C$39:$G$59,$AU$166))</f>
        <v>0</v>
      </c>
      <c r="BQ147" s="184">
        <f>IF(BQ146=0,0,HLOOKUP(BQ146,[1]Trav!$C$39:$G$59,$AU$166))</f>
        <v>0</v>
      </c>
      <c r="BR147" s="184">
        <f>IF(BR146=0,0,HLOOKUP(BR146,[1]Trav!$C$39:$G$59,$AU$166))</f>
        <v>0</v>
      </c>
      <c r="BS147" s="184">
        <f>IF(BS146=0,0,HLOOKUP(BS146,[1]Trav!$C$39:$G$59,$AU$166))</f>
        <v>0</v>
      </c>
      <c r="BZ147" s="40" t="s">
        <v>858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858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1287</v>
      </c>
      <c r="B148" s="14" t="s">
        <v>1288</v>
      </c>
      <c r="C148" s="169">
        <f>IF(Troupeau!B3="OL",'Calcul éco'!B5,0)</f>
        <v>0</v>
      </c>
      <c r="D148" s="259">
        <f t="shared" si="50"/>
        <v>0</v>
      </c>
      <c r="F148" s="14" t="s">
        <v>1289</v>
      </c>
      <c r="G148">
        <f>IF(Troupeau!B$3="BV",'Calcul éco'!B10,0)</f>
        <v>7</v>
      </c>
      <c r="AT148" s="40" t="s">
        <v>860</v>
      </c>
      <c r="AV148" s="184">
        <f>IF(AV146=0,0,HLOOKUP(AV146,[1]Trav!$C$62:$G$82,$AU$166))</f>
        <v>0</v>
      </c>
      <c r="AW148" s="184">
        <f>IF(AW146=0,0,HLOOKUP(AW146,[1]Trav!$C$62:$G$82,$AU$166))</f>
        <v>0</v>
      </c>
      <c r="AX148" s="184">
        <f>IF(AX146=0,0,HLOOKUP(AX146,[1]Trav!$C$62:$G$82,$AU$166))</f>
        <v>0</v>
      </c>
      <c r="AY148" s="184">
        <f>IF(AY146=0,0,HLOOKUP(AY146,[1]Trav!$C$62:$G$82,$AU$166))</f>
        <v>0</v>
      </c>
      <c r="AZ148" s="184">
        <f>IF(AZ146=0,0,HLOOKUP(AZ146,[1]Trav!$C$62:$G$82,$AU$166))</f>
        <v>0</v>
      </c>
      <c r="BA148" s="184">
        <f>IF(BA146=0,0,HLOOKUP(BA146,[1]Trav!$C$62:$G$82,$AU$166))</f>
        <v>0</v>
      </c>
      <c r="BB148" s="184">
        <f>IF(BB146=0,0,HLOOKUP(BB146,[1]Trav!$C$62:$G$82,$AU$166))</f>
        <v>0</v>
      </c>
      <c r="BC148" s="184">
        <f>IF(BC146=0,0,HLOOKUP(BC146,[1]Trav!$C$62:$G$82,$AU$166))</f>
        <v>0</v>
      </c>
      <c r="BD148" s="184">
        <f>IF(BD146=0,0,HLOOKUP(BD146,[1]Trav!$C$62:$G$82,$AU$166))</f>
        <v>0</v>
      </c>
      <c r="BE148" s="184">
        <f>IF(BE146=0,0,HLOOKUP(BE146,[1]Trav!$C$62:$G$82,$AU$166))</f>
        <v>0</v>
      </c>
      <c r="BF148" s="184">
        <f>IF(BF146=0,0,HLOOKUP(BF146,[1]Trav!$C$62:$G$82,$AU$166))</f>
        <v>0</v>
      </c>
      <c r="BG148" s="184">
        <f>IF(BG146=0,0,HLOOKUP(BG146,[1]Trav!$C$62:$G$82,$AU$166))</f>
        <v>0</v>
      </c>
      <c r="BH148" s="184">
        <f>IF(BH146=0,0,HLOOKUP(BH146,[1]Trav!$C$62:$G$82,$AU$166))</f>
        <v>0</v>
      </c>
      <c r="BI148" s="184">
        <f>IF(BI146=0,0,HLOOKUP(BI146,[1]Trav!$C$62:$G$82,$AU$166))</f>
        <v>0</v>
      </c>
      <c r="BJ148" s="184">
        <f>IF(BJ146=0,0,HLOOKUP(BJ146,[1]Trav!$C$62:$G$82,$AU$166))</f>
        <v>0</v>
      </c>
      <c r="BK148" s="184">
        <f>IF(BK146=0,0,HLOOKUP(BK146,[1]Trav!$C$62:$G$82,$AU$166))</f>
        <v>0</v>
      </c>
      <c r="BL148" s="184">
        <f>IF(BL146=0,0,HLOOKUP(BL146,[1]Trav!$C$62:$G$82,$AU$166))</f>
        <v>0</v>
      </c>
      <c r="BM148" s="184">
        <f>IF(BM146=0,0,HLOOKUP(BM146,[1]Trav!$C$62:$G$82,$AU$166))</f>
        <v>0</v>
      </c>
      <c r="BN148" s="184">
        <f>IF(BN146=0,0,HLOOKUP(BN146,[1]Trav!$C$62:$G$82,$AU$166))</f>
        <v>0</v>
      </c>
      <c r="BO148" s="184">
        <f>IF(BO146=0,0,HLOOKUP(BO146,[1]Trav!$C$62:$G$82,$AU$166))</f>
        <v>0</v>
      </c>
      <c r="BP148" s="184">
        <f>IF(BP146=0,0,HLOOKUP(BP146,[1]Trav!$C$62:$G$82,$AU$166))</f>
        <v>0</v>
      </c>
      <c r="BQ148" s="184">
        <f>IF(BQ146=0,0,HLOOKUP(BQ146,[1]Trav!$C$62:$G$82,$AU$166))</f>
        <v>0</v>
      </c>
      <c r="BR148" s="184">
        <f>IF(BR146=0,0,HLOOKUP(BR146,[1]Trav!$C$62:$G$82,$AU$166))</f>
        <v>0</v>
      </c>
      <c r="BS148" s="184">
        <f>IF(BS146=0,0,HLOOKUP(BS146,[1]Trav!$C$62:$G$82,$AU$166))</f>
        <v>0</v>
      </c>
      <c r="BZ148" s="40" t="s">
        <v>860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860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1290</v>
      </c>
      <c r="C149" s="169">
        <f>IF(Troupeau!B3="OL",'Calcul éco'!B6,0)</f>
        <v>0</v>
      </c>
      <c r="D149" s="259">
        <f t="shared" si="50"/>
        <v>0</v>
      </c>
      <c r="F149" s="14" t="s">
        <v>1291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861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1292</v>
      </c>
      <c r="C150" s="169">
        <f>IF(Troupeau!B3="BL",'Calcul éco'!B5,0)</f>
        <v>0</v>
      </c>
      <c r="D150" s="259">
        <f t="shared" si="50"/>
        <v>0</v>
      </c>
      <c r="F150" s="14" t="s">
        <v>1293</v>
      </c>
      <c r="G150">
        <f>IF(Troupeau!C$3="BV",'Calcul éco'!C10,0)</f>
        <v>0</v>
      </c>
      <c r="AT150" s="40" t="s">
        <v>861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861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1294</v>
      </c>
      <c r="B151" s="14" t="s">
        <v>1295</v>
      </c>
      <c r="C151" s="169">
        <f>'Calcul éco'!C19</f>
        <v>0</v>
      </c>
      <c r="D151" s="259">
        <f t="shared" si="50"/>
        <v>0</v>
      </c>
      <c r="F151" s="14" t="s">
        <v>1296</v>
      </c>
      <c r="G151">
        <f>IF(Troupeau!B$3="BV",'Calcul éco'!B13,0)</f>
        <v>8</v>
      </c>
      <c r="AT151" s="183" t="str">
        <f t="shared" ref="AT151:AT154" si="73">AT87</f>
        <v>Vaches suitées au pâturage</v>
      </c>
      <c r="AV151" s="169">
        <f t="shared" ref="AV151:BS156" si="74">IF(AV98&gt;1,AV64,0)</f>
        <v>0</v>
      </c>
      <c r="AW151" s="169">
        <f t="shared" si="74"/>
        <v>0</v>
      </c>
      <c r="AX151" s="169">
        <f t="shared" si="74"/>
        <v>0</v>
      </c>
      <c r="AY151" s="169">
        <f t="shared" si="74"/>
        <v>0</v>
      </c>
      <c r="AZ151" s="169">
        <f t="shared" si="74"/>
        <v>0</v>
      </c>
      <c r="BA151" s="169">
        <f t="shared" si="74"/>
        <v>0</v>
      </c>
      <c r="BB151" s="169">
        <f t="shared" si="74"/>
        <v>0</v>
      </c>
      <c r="BC151" s="169">
        <f t="shared" si="74"/>
        <v>0</v>
      </c>
      <c r="BD151" s="169">
        <f t="shared" si="74"/>
        <v>0</v>
      </c>
      <c r="BE151" s="169">
        <f t="shared" si="74"/>
        <v>0</v>
      </c>
      <c r="BF151" s="169">
        <f t="shared" si="74"/>
        <v>0</v>
      </c>
      <c r="BG151" s="169">
        <f t="shared" si="74"/>
        <v>0</v>
      </c>
      <c r="BH151" s="169">
        <f t="shared" si="74"/>
        <v>0</v>
      </c>
      <c r="BI151" s="169">
        <f t="shared" si="74"/>
        <v>0</v>
      </c>
      <c r="BJ151" s="169">
        <f t="shared" si="74"/>
        <v>0</v>
      </c>
      <c r="BK151" s="169">
        <f t="shared" si="74"/>
        <v>0</v>
      </c>
      <c r="BL151" s="169">
        <f t="shared" si="74"/>
        <v>0</v>
      </c>
      <c r="BM151" s="169">
        <f t="shared" si="74"/>
        <v>0</v>
      </c>
      <c r="BN151" s="169">
        <f t="shared" si="74"/>
        <v>0</v>
      </c>
      <c r="BO151" s="169">
        <f t="shared" si="74"/>
        <v>0</v>
      </c>
      <c r="BP151" s="169">
        <f t="shared" si="74"/>
        <v>0</v>
      </c>
      <c r="BQ151" s="169">
        <f t="shared" si="74"/>
        <v>0</v>
      </c>
      <c r="BR151" s="169">
        <f t="shared" si="74"/>
        <v>0</v>
      </c>
      <c r="BS151" s="169">
        <f t="shared" si="74"/>
        <v>0</v>
      </c>
      <c r="BY151" s="2"/>
      <c r="BZ151" s="183" t="str">
        <f t="shared" ref="BZ151:BZ154" si="75">BZ87</f>
        <v>lot1</v>
      </c>
      <c r="CB151" s="169">
        <f t="shared" ref="CB151:CY156" si="76">IF(CB98&gt;1,CB64,0)</f>
        <v>0</v>
      </c>
      <c r="CC151" s="169">
        <f t="shared" si="76"/>
        <v>0</v>
      </c>
      <c r="CD151" s="169">
        <f t="shared" si="76"/>
        <v>0</v>
      </c>
      <c r="CE151" s="169">
        <f t="shared" si="76"/>
        <v>0</v>
      </c>
      <c r="CF151" s="169">
        <f t="shared" si="76"/>
        <v>0</v>
      </c>
      <c r="CG151" s="169">
        <f t="shared" si="76"/>
        <v>0</v>
      </c>
      <c r="CH151" s="169">
        <f t="shared" si="76"/>
        <v>0</v>
      </c>
      <c r="CI151" s="169">
        <f t="shared" si="76"/>
        <v>0</v>
      </c>
      <c r="CJ151" s="169">
        <f t="shared" si="76"/>
        <v>0</v>
      </c>
      <c r="CK151" s="169">
        <f t="shared" si="76"/>
        <v>0</v>
      </c>
      <c r="CL151" s="169">
        <f t="shared" si="76"/>
        <v>0</v>
      </c>
      <c r="CM151" s="169">
        <f t="shared" si="76"/>
        <v>0</v>
      </c>
      <c r="CN151" s="169">
        <f t="shared" si="76"/>
        <v>0</v>
      </c>
      <c r="CO151" s="169">
        <f t="shared" si="76"/>
        <v>0</v>
      </c>
      <c r="CP151" s="169">
        <f t="shared" si="76"/>
        <v>0</v>
      </c>
      <c r="CQ151" s="169">
        <f t="shared" si="76"/>
        <v>0</v>
      </c>
      <c r="CR151" s="169">
        <f t="shared" si="76"/>
        <v>0</v>
      </c>
      <c r="CS151" s="169">
        <f t="shared" si="76"/>
        <v>0</v>
      </c>
      <c r="CT151" s="169">
        <f t="shared" si="76"/>
        <v>0</v>
      </c>
      <c r="CU151" s="169">
        <f t="shared" si="76"/>
        <v>0</v>
      </c>
      <c r="CV151" s="169">
        <f t="shared" si="76"/>
        <v>0</v>
      </c>
      <c r="CW151" s="169">
        <f t="shared" si="76"/>
        <v>0</v>
      </c>
      <c r="CX151" s="169">
        <f t="shared" si="76"/>
        <v>0</v>
      </c>
      <c r="CY151" s="169">
        <f t="shared" si="76"/>
        <v>0</v>
      </c>
      <c r="DB151" s="2"/>
      <c r="DC151" s="183" t="str">
        <f t="shared" ref="DC151:DC154" si="77">DC87</f>
        <v>lot1</v>
      </c>
      <c r="DE151" s="169">
        <f t="shared" ref="DE151:EB156" si="78">IF(DE98&gt;1,DE64,0)</f>
        <v>0</v>
      </c>
      <c r="DF151" s="169">
        <f t="shared" si="78"/>
        <v>0</v>
      </c>
      <c r="DG151" s="169">
        <f t="shared" si="78"/>
        <v>0</v>
      </c>
      <c r="DH151" s="169">
        <f t="shared" si="78"/>
        <v>0</v>
      </c>
      <c r="DI151" s="169">
        <f t="shared" si="78"/>
        <v>0</v>
      </c>
      <c r="DJ151" s="169">
        <f t="shared" si="78"/>
        <v>0</v>
      </c>
      <c r="DK151" s="169">
        <f t="shared" si="78"/>
        <v>0</v>
      </c>
      <c r="DL151" s="169">
        <f t="shared" si="78"/>
        <v>0</v>
      </c>
      <c r="DM151" s="169">
        <f t="shared" si="78"/>
        <v>0</v>
      </c>
      <c r="DN151" s="169">
        <f t="shared" si="78"/>
        <v>0</v>
      </c>
      <c r="DO151" s="169">
        <f t="shared" si="78"/>
        <v>0</v>
      </c>
      <c r="DP151" s="169">
        <f t="shared" si="78"/>
        <v>0</v>
      </c>
      <c r="DQ151" s="169">
        <f t="shared" si="78"/>
        <v>0</v>
      </c>
      <c r="DR151" s="169">
        <f t="shared" si="78"/>
        <v>0</v>
      </c>
      <c r="DS151" s="169">
        <f t="shared" si="78"/>
        <v>0</v>
      </c>
      <c r="DT151" s="169">
        <f t="shared" si="78"/>
        <v>0</v>
      </c>
      <c r="DU151" s="169">
        <f t="shared" si="78"/>
        <v>0</v>
      </c>
      <c r="DV151" s="169">
        <f t="shared" si="78"/>
        <v>0</v>
      </c>
      <c r="DW151" s="169">
        <f t="shared" si="78"/>
        <v>0</v>
      </c>
      <c r="DX151" s="169">
        <f t="shared" si="78"/>
        <v>0</v>
      </c>
      <c r="DY151" s="169">
        <f t="shared" si="78"/>
        <v>0</v>
      </c>
      <c r="DZ151" s="169">
        <f t="shared" si="78"/>
        <v>0</v>
      </c>
      <c r="EA151" s="169">
        <f t="shared" si="78"/>
        <v>0</v>
      </c>
      <c r="EB151" s="169">
        <f t="shared" si="78"/>
        <v>0</v>
      </c>
    </row>
    <row r="152" spans="1:132" x14ac:dyDescent="0.25">
      <c r="B152" s="14" t="s">
        <v>1297</v>
      </c>
      <c r="C152" s="169">
        <f>'Calcul éco'!C20</f>
        <v>0</v>
      </c>
      <c r="D152" s="259">
        <f t="shared" si="50"/>
        <v>0</v>
      </c>
      <c r="F152" s="14" t="s">
        <v>1298</v>
      </c>
      <c r="G152">
        <f>IF(Troupeau!B$3="BV",'Calcul éco'!B14,0)</f>
        <v>1</v>
      </c>
      <c r="AT152" s="183" t="str">
        <f t="shared" si="73"/>
        <v xml:space="preserve">Vaches lot principal </v>
      </c>
      <c r="AV152" s="169">
        <f t="shared" si="74"/>
        <v>0</v>
      </c>
      <c r="AW152" s="169">
        <f t="shared" si="74"/>
        <v>0</v>
      </c>
      <c r="AX152" s="169">
        <f t="shared" si="74"/>
        <v>0</v>
      </c>
      <c r="AY152" s="169">
        <f t="shared" si="74"/>
        <v>0</v>
      </c>
      <c r="AZ152" s="169">
        <f t="shared" si="74"/>
        <v>0</v>
      </c>
      <c r="BA152" s="169">
        <f t="shared" si="74"/>
        <v>0</v>
      </c>
      <c r="BB152" s="169">
        <f t="shared" si="74"/>
        <v>0</v>
      </c>
      <c r="BC152" s="169">
        <f t="shared" si="74"/>
        <v>0</v>
      </c>
      <c r="BD152" s="169">
        <f t="shared" si="74"/>
        <v>0</v>
      </c>
      <c r="BE152" s="169">
        <f t="shared" si="74"/>
        <v>0</v>
      </c>
      <c r="BF152" s="169">
        <f t="shared" si="74"/>
        <v>0</v>
      </c>
      <c r="BG152" s="169">
        <f t="shared" si="74"/>
        <v>0</v>
      </c>
      <c r="BH152" s="169">
        <f t="shared" si="74"/>
        <v>0</v>
      </c>
      <c r="BI152" s="169">
        <f t="shared" si="74"/>
        <v>0</v>
      </c>
      <c r="BJ152" s="169">
        <f t="shared" si="74"/>
        <v>0</v>
      </c>
      <c r="BK152" s="169">
        <f t="shared" si="74"/>
        <v>0</v>
      </c>
      <c r="BL152" s="169">
        <f t="shared" si="74"/>
        <v>0</v>
      </c>
      <c r="BM152" s="169">
        <f t="shared" si="74"/>
        <v>0</v>
      </c>
      <c r="BN152" s="169">
        <f t="shared" si="74"/>
        <v>0</v>
      </c>
      <c r="BO152" s="169">
        <f t="shared" si="74"/>
        <v>0</v>
      </c>
      <c r="BP152" s="169">
        <f t="shared" si="74"/>
        <v>0</v>
      </c>
      <c r="BQ152" s="169">
        <f t="shared" si="74"/>
        <v>0</v>
      </c>
      <c r="BR152" s="169">
        <f t="shared" si="74"/>
        <v>0</v>
      </c>
      <c r="BS152" s="169">
        <f t="shared" si="74"/>
        <v>0</v>
      </c>
      <c r="BY152" s="2"/>
      <c r="BZ152" s="183" t="str">
        <f t="shared" si="75"/>
        <v>lot2</v>
      </c>
      <c r="CB152" s="169">
        <f t="shared" si="76"/>
        <v>0</v>
      </c>
      <c r="CC152" s="169">
        <f t="shared" si="76"/>
        <v>0</v>
      </c>
      <c r="CD152" s="169">
        <f t="shared" si="76"/>
        <v>0</v>
      </c>
      <c r="CE152" s="169">
        <f t="shared" si="76"/>
        <v>0</v>
      </c>
      <c r="CF152" s="169">
        <f t="shared" si="76"/>
        <v>0</v>
      </c>
      <c r="CG152" s="169">
        <f t="shared" si="76"/>
        <v>0</v>
      </c>
      <c r="CH152" s="169">
        <f t="shared" si="76"/>
        <v>0</v>
      </c>
      <c r="CI152" s="169">
        <f t="shared" si="76"/>
        <v>0</v>
      </c>
      <c r="CJ152" s="169">
        <f t="shared" si="76"/>
        <v>0</v>
      </c>
      <c r="CK152" s="169">
        <f t="shared" si="76"/>
        <v>0</v>
      </c>
      <c r="CL152" s="169">
        <f t="shared" si="76"/>
        <v>0</v>
      </c>
      <c r="CM152" s="169">
        <f t="shared" si="76"/>
        <v>0</v>
      </c>
      <c r="CN152" s="169">
        <f t="shared" si="76"/>
        <v>0</v>
      </c>
      <c r="CO152" s="169">
        <f t="shared" si="76"/>
        <v>0</v>
      </c>
      <c r="CP152" s="169">
        <f t="shared" si="76"/>
        <v>0</v>
      </c>
      <c r="CQ152" s="169">
        <f t="shared" si="76"/>
        <v>0</v>
      </c>
      <c r="CR152" s="169">
        <f t="shared" si="76"/>
        <v>0</v>
      </c>
      <c r="CS152" s="169">
        <f t="shared" si="76"/>
        <v>0</v>
      </c>
      <c r="CT152" s="169">
        <f t="shared" si="76"/>
        <v>0</v>
      </c>
      <c r="CU152" s="169">
        <f t="shared" si="76"/>
        <v>0</v>
      </c>
      <c r="CV152" s="169">
        <f t="shared" si="76"/>
        <v>0</v>
      </c>
      <c r="CW152" s="169">
        <f t="shared" si="76"/>
        <v>0</v>
      </c>
      <c r="CX152" s="169">
        <f t="shared" si="76"/>
        <v>0</v>
      </c>
      <c r="CY152" s="169">
        <f t="shared" si="76"/>
        <v>0</v>
      </c>
      <c r="DB152" s="2"/>
      <c r="DC152" s="183" t="str">
        <f t="shared" si="77"/>
        <v>lot2</v>
      </c>
      <c r="DE152" s="169">
        <f t="shared" si="78"/>
        <v>0</v>
      </c>
      <c r="DF152" s="169">
        <f t="shared" si="78"/>
        <v>0</v>
      </c>
      <c r="DG152" s="169">
        <f t="shared" si="78"/>
        <v>0</v>
      </c>
      <c r="DH152" s="169">
        <f t="shared" si="78"/>
        <v>0</v>
      </c>
      <c r="DI152" s="169">
        <f t="shared" si="78"/>
        <v>0</v>
      </c>
      <c r="DJ152" s="169">
        <f t="shared" si="78"/>
        <v>0</v>
      </c>
      <c r="DK152" s="169">
        <f t="shared" si="78"/>
        <v>0</v>
      </c>
      <c r="DL152" s="169">
        <f t="shared" si="78"/>
        <v>0</v>
      </c>
      <c r="DM152" s="169">
        <f t="shared" si="78"/>
        <v>0</v>
      </c>
      <c r="DN152" s="169">
        <f t="shared" si="78"/>
        <v>0</v>
      </c>
      <c r="DO152" s="169">
        <f t="shared" si="78"/>
        <v>0</v>
      </c>
      <c r="DP152" s="169">
        <f t="shared" si="78"/>
        <v>0</v>
      </c>
      <c r="DQ152" s="169">
        <f t="shared" si="78"/>
        <v>0</v>
      </c>
      <c r="DR152" s="169">
        <f t="shared" si="78"/>
        <v>0</v>
      </c>
      <c r="DS152" s="169">
        <f t="shared" si="78"/>
        <v>0</v>
      </c>
      <c r="DT152" s="169">
        <f t="shared" si="78"/>
        <v>0</v>
      </c>
      <c r="DU152" s="169">
        <f t="shared" si="78"/>
        <v>0</v>
      </c>
      <c r="DV152" s="169">
        <f t="shared" si="78"/>
        <v>0</v>
      </c>
      <c r="DW152" s="169">
        <f t="shared" si="78"/>
        <v>0</v>
      </c>
      <c r="DX152" s="169">
        <f t="shared" si="78"/>
        <v>0</v>
      </c>
      <c r="DY152" s="169">
        <f t="shared" si="78"/>
        <v>0</v>
      </c>
      <c r="DZ152" s="169">
        <f t="shared" si="78"/>
        <v>0</v>
      </c>
      <c r="EA152" s="169">
        <f t="shared" si="78"/>
        <v>0</v>
      </c>
      <c r="EB152" s="169">
        <f t="shared" si="78"/>
        <v>0</v>
      </c>
    </row>
    <row r="153" spans="1:132" x14ac:dyDescent="0.25">
      <c r="B153" s="14" t="s">
        <v>1299</v>
      </c>
      <c r="C153" s="169">
        <f>'Calcul éco'!C21</f>
        <v>0</v>
      </c>
      <c r="D153" s="259">
        <f t="shared" si="50"/>
        <v>0</v>
      </c>
      <c r="F153" s="14" t="s">
        <v>1300</v>
      </c>
      <c r="G153">
        <f>IF(Troupeau!C$3="BV",'Calcul éco'!C13,0)</f>
        <v>0</v>
      </c>
      <c r="AT153" s="183" t="str">
        <f t="shared" si="73"/>
        <v>Génisses renouvellement</v>
      </c>
      <c r="AV153" s="169">
        <f t="shared" si="74"/>
        <v>0</v>
      </c>
      <c r="AW153" s="169">
        <f t="shared" si="74"/>
        <v>0</v>
      </c>
      <c r="AX153" s="169">
        <f t="shared" si="74"/>
        <v>0</v>
      </c>
      <c r="AY153" s="169">
        <f t="shared" si="74"/>
        <v>0</v>
      </c>
      <c r="AZ153" s="169">
        <f t="shared" si="74"/>
        <v>0</v>
      </c>
      <c r="BA153" s="169">
        <f t="shared" si="74"/>
        <v>0</v>
      </c>
      <c r="BB153" s="169">
        <f t="shared" si="74"/>
        <v>0</v>
      </c>
      <c r="BC153" s="169">
        <f t="shared" si="74"/>
        <v>0</v>
      </c>
      <c r="BD153" s="169">
        <f t="shared" si="74"/>
        <v>0</v>
      </c>
      <c r="BE153" s="169">
        <f t="shared" si="74"/>
        <v>0</v>
      </c>
      <c r="BF153" s="169">
        <f t="shared" si="74"/>
        <v>0</v>
      </c>
      <c r="BG153" s="169">
        <f t="shared" si="74"/>
        <v>0</v>
      </c>
      <c r="BH153" s="169">
        <f t="shared" si="74"/>
        <v>0</v>
      </c>
      <c r="BI153" s="169">
        <f t="shared" si="74"/>
        <v>0</v>
      </c>
      <c r="BJ153" s="169">
        <f t="shared" si="74"/>
        <v>0</v>
      </c>
      <c r="BK153" s="169">
        <f t="shared" si="74"/>
        <v>0</v>
      </c>
      <c r="BL153" s="169">
        <f t="shared" si="74"/>
        <v>0</v>
      </c>
      <c r="BM153" s="169">
        <f t="shared" si="74"/>
        <v>0</v>
      </c>
      <c r="BN153" s="169">
        <f t="shared" si="74"/>
        <v>0</v>
      </c>
      <c r="BO153" s="169">
        <f t="shared" si="74"/>
        <v>0</v>
      </c>
      <c r="BP153" s="169">
        <f t="shared" si="74"/>
        <v>0</v>
      </c>
      <c r="BQ153" s="169">
        <f t="shared" si="74"/>
        <v>0</v>
      </c>
      <c r="BR153" s="169">
        <f t="shared" si="74"/>
        <v>0</v>
      </c>
      <c r="BS153" s="169">
        <f t="shared" si="74"/>
        <v>0</v>
      </c>
      <c r="BY153" s="2"/>
      <c r="BZ153" s="183" t="str">
        <f t="shared" si="75"/>
        <v>lot3</v>
      </c>
      <c r="CB153" s="169">
        <f t="shared" si="76"/>
        <v>0</v>
      </c>
      <c r="CC153" s="169">
        <f t="shared" si="76"/>
        <v>0</v>
      </c>
      <c r="CD153" s="169">
        <f t="shared" si="76"/>
        <v>0</v>
      </c>
      <c r="CE153" s="169">
        <f t="shared" si="76"/>
        <v>0</v>
      </c>
      <c r="CF153" s="169">
        <f t="shared" si="76"/>
        <v>0</v>
      </c>
      <c r="CG153" s="169">
        <f t="shared" si="76"/>
        <v>0</v>
      </c>
      <c r="CH153" s="169">
        <f t="shared" si="76"/>
        <v>0</v>
      </c>
      <c r="CI153" s="169">
        <f t="shared" si="76"/>
        <v>0</v>
      </c>
      <c r="CJ153" s="169">
        <f t="shared" si="76"/>
        <v>0</v>
      </c>
      <c r="CK153" s="169">
        <f t="shared" si="76"/>
        <v>0</v>
      </c>
      <c r="CL153" s="169">
        <f t="shared" si="76"/>
        <v>0</v>
      </c>
      <c r="CM153" s="169">
        <f t="shared" si="76"/>
        <v>0</v>
      </c>
      <c r="CN153" s="169">
        <f t="shared" si="76"/>
        <v>0</v>
      </c>
      <c r="CO153" s="169">
        <f t="shared" si="76"/>
        <v>0</v>
      </c>
      <c r="CP153" s="169">
        <f t="shared" si="76"/>
        <v>0</v>
      </c>
      <c r="CQ153" s="169">
        <f t="shared" si="76"/>
        <v>0</v>
      </c>
      <c r="CR153" s="169">
        <f t="shared" si="76"/>
        <v>0</v>
      </c>
      <c r="CS153" s="169">
        <f t="shared" si="76"/>
        <v>0</v>
      </c>
      <c r="CT153" s="169">
        <f t="shared" si="76"/>
        <v>0</v>
      </c>
      <c r="CU153" s="169">
        <f t="shared" si="76"/>
        <v>0</v>
      </c>
      <c r="CV153" s="169">
        <f t="shared" si="76"/>
        <v>0</v>
      </c>
      <c r="CW153" s="169">
        <f t="shared" si="76"/>
        <v>0</v>
      </c>
      <c r="CX153" s="169">
        <f t="shared" si="76"/>
        <v>0</v>
      </c>
      <c r="CY153" s="169">
        <f t="shared" si="76"/>
        <v>0</v>
      </c>
      <c r="DB153" s="2"/>
      <c r="DC153" s="183" t="str">
        <f t="shared" si="77"/>
        <v>lot3</v>
      </c>
      <c r="DE153" s="169">
        <f t="shared" si="78"/>
        <v>0</v>
      </c>
      <c r="DF153" s="169">
        <f t="shared" si="78"/>
        <v>0</v>
      </c>
      <c r="DG153" s="169">
        <f t="shared" si="78"/>
        <v>0</v>
      </c>
      <c r="DH153" s="169">
        <f t="shared" si="78"/>
        <v>0</v>
      </c>
      <c r="DI153" s="169">
        <f t="shared" si="78"/>
        <v>0</v>
      </c>
      <c r="DJ153" s="169">
        <f t="shared" si="78"/>
        <v>0</v>
      </c>
      <c r="DK153" s="169">
        <f t="shared" si="78"/>
        <v>0</v>
      </c>
      <c r="DL153" s="169">
        <f t="shared" si="78"/>
        <v>0</v>
      </c>
      <c r="DM153" s="169">
        <f t="shared" si="78"/>
        <v>0</v>
      </c>
      <c r="DN153" s="169">
        <f t="shared" si="78"/>
        <v>0</v>
      </c>
      <c r="DO153" s="169">
        <f t="shared" si="78"/>
        <v>0</v>
      </c>
      <c r="DP153" s="169">
        <f t="shared" si="78"/>
        <v>0</v>
      </c>
      <c r="DQ153" s="169">
        <f t="shared" si="78"/>
        <v>0</v>
      </c>
      <c r="DR153" s="169">
        <f t="shared" si="78"/>
        <v>0</v>
      </c>
      <c r="DS153" s="169">
        <f t="shared" si="78"/>
        <v>0</v>
      </c>
      <c r="DT153" s="169">
        <f t="shared" si="78"/>
        <v>0</v>
      </c>
      <c r="DU153" s="169">
        <f t="shared" si="78"/>
        <v>0</v>
      </c>
      <c r="DV153" s="169">
        <f t="shared" si="78"/>
        <v>0</v>
      </c>
      <c r="DW153" s="169">
        <f t="shared" si="78"/>
        <v>0</v>
      </c>
      <c r="DX153" s="169">
        <f t="shared" si="78"/>
        <v>0</v>
      </c>
      <c r="DY153" s="169">
        <f t="shared" si="78"/>
        <v>0</v>
      </c>
      <c r="DZ153" s="169">
        <f t="shared" si="78"/>
        <v>0</v>
      </c>
      <c r="EA153" s="169">
        <f t="shared" si="78"/>
        <v>0</v>
      </c>
      <c r="EB153" s="169">
        <f t="shared" si="78"/>
        <v>0</v>
      </c>
    </row>
    <row r="154" spans="1:132" x14ac:dyDescent="0.25">
      <c r="B154" s="14" t="s">
        <v>1301</v>
      </c>
      <c r="C154" s="169">
        <f>'Calcul éco'!D19</f>
        <v>0</v>
      </c>
      <c r="D154" s="259">
        <f t="shared" si="50"/>
        <v>0</v>
      </c>
      <c r="F154" s="14" t="s">
        <v>1302</v>
      </c>
      <c r="G154">
        <f>IF(Troupeau!C$3="BV",'Calcul éco'!C14,0)</f>
        <v>0</v>
      </c>
      <c r="AT154" s="183" t="str">
        <f t="shared" si="73"/>
        <v>génisses 2/3 ans</v>
      </c>
      <c r="AV154" s="169">
        <f t="shared" si="74"/>
        <v>0</v>
      </c>
      <c r="AW154" s="169">
        <f t="shared" si="74"/>
        <v>0</v>
      </c>
      <c r="AX154" s="169">
        <f t="shared" si="74"/>
        <v>0</v>
      </c>
      <c r="AY154" s="169">
        <f t="shared" si="74"/>
        <v>0</v>
      </c>
      <c r="AZ154" s="169">
        <f t="shared" si="74"/>
        <v>0</v>
      </c>
      <c r="BA154" s="169">
        <f t="shared" si="74"/>
        <v>0</v>
      </c>
      <c r="BB154" s="169">
        <f t="shared" si="74"/>
        <v>0</v>
      </c>
      <c r="BC154" s="169">
        <f t="shared" si="74"/>
        <v>0</v>
      </c>
      <c r="BD154" s="169">
        <f t="shared" si="74"/>
        <v>0</v>
      </c>
      <c r="BE154" s="169">
        <f t="shared" si="74"/>
        <v>0</v>
      </c>
      <c r="BF154" s="169">
        <f t="shared" si="74"/>
        <v>0</v>
      </c>
      <c r="BG154" s="169">
        <f t="shared" si="74"/>
        <v>0</v>
      </c>
      <c r="BH154" s="169">
        <f t="shared" si="74"/>
        <v>0</v>
      </c>
      <c r="BI154" s="169">
        <f t="shared" si="74"/>
        <v>0</v>
      </c>
      <c r="BJ154" s="169">
        <f t="shared" si="74"/>
        <v>0</v>
      </c>
      <c r="BK154" s="169">
        <f t="shared" si="74"/>
        <v>0</v>
      </c>
      <c r="BL154" s="169">
        <f t="shared" si="74"/>
        <v>0</v>
      </c>
      <c r="BM154" s="169">
        <f t="shared" si="74"/>
        <v>0</v>
      </c>
      <c r="BN154" s="169">
        <f t="shared" si="74"/>
        <v>0</v>
      </c>
      <c r="BO154" s="169">
        <f t="shared" si="74"/>
        <v>0</v>
      </c>
      <c r="BP154" s="169">
        <f t="shared" si="74"/>
        <v>0</v>
      </c>
      <c r="BQ154" s="169">
        <f t="shared" si="74"/>
        <v>0</v>
      </c>
      <c r="BR154" s="169">
        <f t="shared" si="74"/>
        <v>0</v>
      </c>
      <c r="BS154" s="169">
        <f t="shared" si="74"/>
        <v>0</v>
      </c>
      <c r="BY154" s="2"/>
      <c r="BZ154" s="183" t="str">
        <f t="shared" si="75"/>
        <v>lot4</v>
      </c>
      <c r="CB154" s="169">
        <f t="shared" si="76"/>
        <v>0</v>
      </c>
      <c r="CC154" s="169">
        <f t="shared" si="76"/>
        <v>0</v>
      </c>
      <c r="CD154" s="169">
        <f t="shared" si="76"/>
        <v>0</v>
      </c>
      <c r="CE154" s="169">
        <f t="shared" si="76"/>
        <v>0</v>
      </c>
      <c r="CF154" s="169">
        <f t="shared" si="76"/>
        <v>0</v>
      </c>
      <c r="CG154" s="169">
        <f t="shared" si="76"/>
        <v>0</v>
      </c>
      <c r="CH154" s="169">
        <f t="shared" si="76"/>
        <v>0</v>
      </c>
      <c r="CI154" s="169">
        <f t="shared" si="76"/>
        <v>0</v>
      </c>
      <c r="CJ154" s="169">
        <f t="shared" si="76"/>
        <v>0</v>
      </c>
      <c r="CK154" s="169">
        <f t="shared" si="76"/>
        <v>0</v>
      </c>
      <c r="CL154" s="169">
        <f t="shared" si="76"/>
        <v>0</v>
      </c>
      <c r="CM154" s="169">
        <f t="shared" si="76"/>
        <v>0</v>
      </c>
      <c r="CN154" s="169">
        <f t="shared" si="76"/>
        <v>0</v>
      </c>
      <c r="CO154" s="169">
        <f t="shared" si="76"/>
        <v>0</v>
      </c>
      <c r="CP154" s="169">
        <f t="shared" si="76"/>
        <v>0</v>
      </c>
      <c r="CQ154" s="169">
        <f t="shared" si="76"/>
        <v>0</v>
      </c>
      <c r="CR154" s="169">
        <f t="shared" si="76"/>
        <v>0</v>
      </c>
      <c r="CS154" s="169">
        <f t="shared" si="76"/>
        <v>0</v>
      </c>
      <c r="CT154" s="169">
        <f t="shared" si="76"/>
        <v>0</v>
      </c>
      <c r="CU154" s="169">
        <f t="shared" si="76"/>
        <v>0</v>
      </c>
      <c r="CV154" s="169">
        <f t="shared" si="76"/>
        <v>0</v>
      </c>
      <c r="CW154" s="169">
        <f t="shared" si="76"/>
        <v>0</v>
      </c>
      <c r="CX154" s="169">
        <f t="shared" si="76"/>
        <v>0</v>
      </c>
      <c r="CY154" s="169">
        <f t="shared" si="76"/>
        <v>0</v>
      </c>
      <c r="DB154" s="2"/>
      <c r="DC154" s="183" t="str">
        <f t="shared" si="77"/>
        <v>lot4</v>
      </c>
      <c r="DE154" s="169">
        <f t="shared" si="78"/>
        <v>0</v>
      </c>
      <c r="DF154" s="169">
        <f t="shared" si="78"/>
        <v>0</v>
      </c>
      <c r="DG154" s="169">
        <f t="shared" si="78"/>
        <v>0</v>
      </c>
      <c r="DH154" s="169">
        <f t="shared" si="78"/>
        <v>0</v>
      </c>
      <c r="DI154" s="169">
        <f t="shared" si="78"/>
        <v>0</v>
      </c>
      <c r="DJ154" s="169">
        <f t="shared" si="78"/>
        <v>0</v>
      </c>
      <c r="DK154" s="169">
        <f t="shared" si="78"/>
        <v>0</v>
      </c>
      <c r="DL154" s="169">
        <f t="shared" si="78"/>
        <v>0</v>
      </c>
      <c r="DM154" s="169">
        <f t="shared" si="78"/>
        <v>0</v>
      </c>
      <c r="DN154" s="169">
        <f t="shared" si="78"/>
        <v>0</v>
      </c>
      <c r="DO154" s="169">
        <f t="shared" si="78"/>
        <v>0</v>
      </c>
      <c r="DP154" s="169">
        <f t="shared" si="78"/>
        <v>0</v>
      </c>
      <c r="DQ154" s="169">
        <f t="shared" si="78"/>
        <v>0</v>
      </c>
      <c r="DR154" s="169">
        <f t="shared" si="78"/>
        <v>0</v>
      </c>
      <c r="DS154" s="169">
        <f t="shared" si="78"/>
        <v>0</v>
      </c>
      <c r="DT154" s="169">
        <f t="shared" si="78"/>
        <v>0</v>
      </c>
      <c r="DU154" s="169">
        <f t="shared" si="78"/>
        <v>0</v>
      </c>
      <c r="DV154" s="169">
        <f t="shared" si="78"/>
        <v>0</v>
      </c>
      <c r="DW154" s="169">
        <f t="shared" si="78"/>
        <v>0</v>
      </c>
      <c r="DX154" s="169">
        <f t="shared" si="78"/>
        <v>0</v>
      </c>
      <c r="DY154" s="169">
        <f t="shared" si="78"/>
        <v>0</v>
      </c>
      <c r="DZ154" s="169">
        <f t="shared" si="78"/>
        <v>0</v>
      </c>
      <c r="EA154" s="169">
        <f t="shared" si="78"/>
        <v>0</v>
      </c>
      <c r="EB154" s="169">
        <f t="shared" si="78"/>
        <v>0</v>
      </c>
    </row>
    <row r="155" spans="1:132" x14ac:dyDescent="0.25">
      <c r="B155" s="14" t="s">
        <v>1303</v>
      </c>
      <c r="C155" s="169">
        <f>'Calcul éco'!D20</f>
        <v>0</v>
      </c>
      <c r="D155" s="259">
        <f t="shared" si="50"/>
        <v>0</v>
      </c>
      <c r="F155" s="14" t="s">
        <v>1304</v>
      </c>
      <c r="G155">
        <f>IF(Troupeau!B$3="BV",('Calcul éco'!B$11+'Calcul éco'!B$12),0)</f>
        <v>0</v>
      </c>
      <c r="AT155" s="183" t="str">
        <f>AT91</f>
        <v>tardive</v>
      </c>
      <c r="AV155" s="169">
        <f t="shared" si="74"/>
        <v>0</v>
      </c>
      <c r="AW155" s="169">
        <f t="shared" si="74"/>
        <v>0</v>
      </c>
      <c r="AX155" s="169">
        <f t="shared" si="74"/>
        <v>0</v>
      </c>
      <c r="AY155" s="169">
        <f t="shared" si="74"/>
        <v>0</v>
      </c>
      <c r="AZ155" s="169">
        <f t="shared" si="74"/>
        <v>0</v>
      </c>
      <c r="BA155" s="169">
        <f t="shared" si="74"/>
        <v>0</v>
      </c>
      <c r="BB155" s="169">
        <f t="shared" si="74"/>
        <v>0</v>
      </c>
      <c r="BC155" s="169">
        <f t="shared" si="74"/>
        <v>0</v>
      </c>
      <c r="BD155" s="169">
        <f t="shared" si="74"/>
        <v>0</v>
      </c>
      <c r="BE155" s="169">
        <f t="shared" si="74"/>
        <v>0</v>
      </c>
      <c r="BF155" s="169">
        <f t="shared" si="74"/>
        <v>0</v>
      </c>
      <c r="BG155" s="169">
        <f t="shared" si="74"/>
        <v>0</v>
      </c>
      <c r="BH155" s="169">
        <f t="shared" si="74"/>
        <v>0</v>
      </c>
      <c r="BI155" s="169">
        <f t="shared" si="74"/>
        <v>0</v>
      </c>
      <c r="BJ155" s="169">
        <f t="shared" si="74"/>
        <v>0</v>
      </c>
      <c r="BK155" s="169">
        <f t="shared" si="74"/>
        <v>0</v>
      </c>
      <c r="BL155" s="169">
        <f t="shared" si="74"/>
        <v>0</v>
      </c>
      <c r="BM155" s="169">
        <f t="shared" si="74"/>
        <v>0</v>
      </c>
      <c r="BN155" s="169">
        <f t="shared" si="74"/>
        <v>0</v>
      </c>
      <c r="BO155" s="169">
        <f t="shared" si="74"/>
        <v>0</v>
      </c>
      <c r="BP155" s="169">
        <f t="shared" si="74"/>
        <v>0</v>
      </c>
      <c r="BQ155" s="169">
        <f t="shared" si="74"/>
        <v>0</v>
      </c>
      <c r="BR155" s="169">
        <f t="shared" si="74"/>
        <v>0</v>
      </c>
      <c r="BS155" s="169">
        <f t="shared" si="74"/>
        <v>0</v>
      </c>
      <c r="BZ155" s="183" t="str">
        <f>BZ91</f>
        <v>lot5</v>
      </c>
      <c r="CB155" s="169">
        <f t="shared" si="76"/>
        <v>0</v>
      </c>
      <c r="CC155" s="169">
        <f t="shared" si="76"/>
        <v>0</v>
      </c>
      <c r="CD155" s="169">
        <f t="shared" si="76"/>
        <v>0</v>
      </c>
      <c r="CE155" s="169">
        <f t="shared" si="76"/>
        <v>0</v>
      </c>
      <c r="CF155" s="169">
        <f t="shared" si="76"/>
        <v>0</v>
      </c>
      <c r="CG155" s="169">
        <f t="shared" si="76"/>
        <v>0</v>
      </c>
      <c r="CH155" s="169">
        <f t="shared" si="76"/>
        <v>0</v>
      </c>
      <c r="CI155" s="169">
        <f t="shared" si="76"/>
        <v>0</v>
      </c>
      <c r="CJ155" s="169">
        <f t="shared" si="76"/>
        <v>0</v>
      </c>
      <c r="CK155" s="169">
        <f t="shared" si="76"/>
        <v>0</v>
      </c>
      <c r="CL155" s="169">
        <f t="shared" si="76"/>
        <v>0</v>
      </c>
      <c r="CM155" s="169">
        <f t="shared" si="76"/>
        <v>0</v>
      </c>
      <c r="CN155" s="169">
        <f t="shared" si="76"/>
        <v>0</v>
      </c>
      <c r="CO155" s="169">
        <f t="shared" si="76"/>
        <v>0</v>
      </c>
      <c r="CP155" s="169">
        <f t="shared" si="76"/>
        <v>0</v>
      </c>
      <c r="CQ155" s="169">
        <f t="shared" si="76"/>
        <v>0</v>
      </c>
      <c r="CR155" s="169">
        <f t="shared" si="76"/>
        <v>0</v>
      </c>
      <c r="CS155" s="169">
        <f t="shared" si="76"/>
        <v>0</v>
      </c>
      <c r="CT155" s="169">
        <f t="shared" si="76"/>
        <v>0</v>
      </c>
      <c r="CU155" s="169">
        <f t="shared" si="76"/>
        <v>0</v>
      </c>
      <c r="CV155" s="169">
        <f t="shared" si="76"/>
        <v>0</v>
      </c>
      <c r="CW155" s="169">
        <f t="shared" si="76"/>
        <v>0</v>
      </c>
      <c r="CX155" s="169">
        <f t="shared" si="76"/>
        <v>0</v>
      </c>
      <c r="CY155" s="169">
        <f t="shared" si="76"/>
        <v>0</v>
      </c>
      <c r="DC155" s="183" t="str">
        <f>DC91</f>
        <v>lot5</v>
      </c>
      <c r="DE155" s="169">
        <f t="shared" si="78"/>
        <v>0</v>
      </c>
      <c r="DF155" s="169">
        <f t="shared" si="78"/>
        <v>0</v>
      </c>
      <c r="DG155" s="169">
        <f t="shared" si="78"/>
        <v>0</v>
      </c>
      <c r="DH155" s="169">
        <f t="shared" si="78"/>
        <v>0</v>
      </c>
      <c r="DI155" s="169">
        <f t="shared" si="78"/>
        <v>0</v>
      </c>
      <c r="DJ155" s="169">
        <f t="shared" si="78"/>
        <v>0</v>
      </c>
      <c r="DK155" s="169">
        <f t="shared" si="78"/>
        <v>0</v>
      </c>
      <c r="DL155" s="169">
        <f t="shared" si="78"/>
        <v>0</v>
      </c>
      <c r="DM155" s="169">
        <f t="shared" si="78"/>
        <v>0</v>
      </c>
      <c r="DN155" s="169">
        <f t="shared" si="78"/>
        <v>0</v>
      </c>
      <c r="DO155" s="169">
        <f t="shared" si="78"/>
        <v>0</v>
      </c>
      <c r="DP155" s="169">
        <f t="shared" si="78"/>
        <v>0</v>
      </c>
      <c r="DQ155" s="169">
        <f t="shared" si="78"/>
        <v>0</v>
      </c>
      <c r="DR155" s="169">
        <f t="shared" si="78"/>
        <v>0</v>
      </c>
      <c r="DS155" s="169">
        <f t="shared" si="78"/>
        <v>0</v>
      </c>
      <c r="DT155" s="169">
        <f t="shared" si="78"/>
        <v>0</v>
      </c>
      <c r="DU155" s="169">
        <f t="shared" si="78"/>
        <v>0</v>
      </c>
      <c r="DV155" s="169">
        <f t="shared" si="78"/>
        <v>0</v>
      </c>
      <c r="DW155" s="169">
        <f t="shared" si="78"/>
        <v>0</v>
      </c>
      <c r="DX155" s="169">
        <f t="shared" si="78"/>
        <v>0</v>
      </c>
      <c r="DY155" s="169">
        <f t="shared" si="78"/>
        <v>0</v>
      </c>
      <c r="DZ155" s="169">
        <f t="shared" si="78"/>
        <v>0</v>
      </c>
      <c r="EA155" s="169">
        <f t="shared" si="78"/>
        <v>0</v>
      </c>
      <c r="EB155" s="169">
        <f t="shared" si="78"/>
        <v>0</v>
      </c>
    </row>
    <row r="156" spans="1:132" x14ac:dyDescent="0.25">
      <c r="B156" s="14" t="s">
        <v>1305</v>
      </c>
      <c r="C156" s="169">
        <f>'Calcul éco'!D21</f>
        <v>0</v>
      </c>
      <c r="D156" s="259">
        <f t="shared" si="50"/>
        <v>0</v>
      </c>
      <c r="F156" s="14" t="s">
        <v>1306</v>
      </c>
      <c r="G156">
        <f>IF(Troupeau!C$3="BV",('Calcul éco'!C$11+'Calcul éco'!C$12),0)</f>
        <v>0</v>
      </c>
      <c r="AT156" s="183" t="str">
        <f>AT92</f>
        <v>lot6</v>
      </c>
      <c r="AV156" s="169">
        <f t="shared" si="74"/>
        <v>0</v>
      </c>
      <c r="AW156" s="169">
        <f t="shared" si="74"/>
        <v>0</v>
      </c>
      <c r="AX156" s="169">
        <f t="shared" si="74"/>
        <v>0</v>
      </c>
      <c r="AY156" s="169">
        <f t="shared" si="74"/>
        <v>0</v>
      </c>
      <c r="AZ156" s="169">
        <f t="shared" si="74"/>
        <v>0</v>
      </c>
      <c r="BA156" s="169">
        <f t="shared" si="74"/>
        <v>0</v>
      </c>
      <c r="BB156" s="169">
        <f t="shared" si="74"/>
        <v>0</v>
      </c>
      <c r="BC156" s="169">
        <f t="shared" si="74"/>
        <v>0</v>
      </c>
      <c r="BD156" s="169">
        <f t="shared" si="74"/>
        <v>0</v>
      </c>
      <c r="BE156" s="169">
        <f t="shared" si="74"/>
        <v>0</v>
      </c>
      <c r="BF156" s="169">
        <f t="shared" si="74"/>
        <v>0</v>
      </c>
      <c r="BG156" s="169">
        <f t="shared" si="74"/>
        <v>0</v>
      </c>
      <c r="BH156" s="169">
        <f t="shared" si="74"/>
        <v>0</v>
      </c>
      <c r="BI156" s="169">
        <f t="shared" si="74"/>
        <v>0</v>
      </c>
      <c r="BJ156" s="169">
        <f t="shared" si="74"/>
        <v>0</v>
      </c>
      <c r="BK156" s="169">
        <f t="shared" si="74"/>
        <v>0</v>
      </c>
      <c r="BL156" s="169">
        <f t="shared" si="74"/>
        <v>0</v>
      </c>
      <c r="BM156" s="169">
        <f t="shared" si="74"/>
        <v>0</v>
      </c>
      <c r="BN156" s="169">
        <f t="shared" si="74"/>
        <v>0</v>
      </c>
      <c r="BO156" s="169">
        <f t="shared" si="74"/>
        <v>0</v>
      </c>
      <c r="BP156" s="169">
        <f t="shared" si="74"/>
        <v>0</v>
      </c>
      <c r="BQ156" s="169">
        <f t="shared" si="74"/>
        <v>0</v>
      </c>
      <c r="BR156" s="169">
        <f t="shared" si="74"/>
        <v>0</v>
      </c>
      <c r="BS156" s="169">
        <f t="shared" si="74"/>
        <v>0</v>
      </c>
      <c r="BZ156" s="183" t="str">
        <f>BZ92</f>
        <v>lot6</v>
      </c>
      <c r="CB156" s="169">
        <f t="shared" si="76"/>
        <v>0</v>
      </c>
      <c r="CC156" s="169">
        <f t="shared" si="76"/>
        <v>0</v>
      </c>
      <c r="CD156" s="169">
        <f t="shared" si="76"/>
        <v>0</v>
      </c>
      <c r="CE156" s="169">
        <f t="shared" si="76"/>
        <v>0</v>
      </c>
      <c r="CF156" s="169">
        <f t="shared" si="76"/>
        <v>0</v>
      </c>
      <c r="CG156" s="169">
        <f t="shared" si="76"/>
        <v>0</v>
      </c>
      <c r="CH156" s="169">
        <f t="shared" si="76"/>
        <v>0</v>
      </c>
      <c r="CI156" s="169">
        <f t="shared" si="76"/>
        <v>0</v>
      </c>
      <c r="CJ156" s="169">
        <f t="shared" si="76"/>
        <v>0</v>
      </c>
      <c r="CK156" s="169">
        <f t="shared" si="76"/>
        <v>0</v>
      </c>
      <c r="CL156" s="169">
        <f t="shared" si="76"/>
        <v>0</v>
      </c>
      <c r="CM156" s="169">
        <f t="shared" si="76"/>
        <v>0</v>
      </c>
      <c r="CN156" s="169">
        <f t="shared" si="76"/>
        <v>0</v>
      </c>
      <c r="CO156" s="169">
        <f t="shared" si="76"/>
        <v>0</v>
      </c>
      <c r="CP156" s="169">
        <f t="shared" si="76"/>
        <v>0</v>
      </c>
      <c r="CQ156" s="169">
        <f t="shared" si="76"/>
        <v>0</v>
      </c>
      <c r="CR156" s="169">
        <f t="shared" si="76"/>
        <v>0</v>
      </c>
      <c r="CS156" s="169">
        <f t="shared" si="76"/>
        <v>0</v>
      </c>
      <c r="CT156" s="169">
        <f t="shared" si="76"/>
        <v>0</v>
      </c>
      <c r="CU156" s="169">
        <f t="shared" si="76"/>
        <v>0</v>
      </c>
      <c r="CV156" s="169">
        <f t="shared" si="76"/>
        <v>0</v>
      </c>
      <c r="CW156" s="169">
        <f t="shared" si="76"/>
        <v>0</v>
      </c>
      <c r="CX156" s="169">
        <f t="shared" si="76"/>
        <v>0</v>
      </c>
      <c r="CY156" s="169">
        <f t="shared" si="76"/>
        <v>0</v>
      </c>
      <c r="DC156" s="183" t="str">
        <f>DC92</f>
        <v>lot6</v>
      </c>
      <c r="DE156" s="169">
        <f t="shared" si="78"/>
        <v>0</v>
      </c>
      <c r="DF156" s="169">
        <f t="shared" si="78"/>
        <v>0</v>
      </c>
      <c r="DG156" s="169">
        <f t="shared" si="78"/>
        <v>0</v>
      </c>
      <c r="DH156" s="169">
        <f t="shared" si="78"/>
        <v>0</v>
      </c>
      <c r="DI156" s="169">
        <f t="shared" si="78"/>
        <v>0</v>
      </c>
      <c r="DJ156" s="169">
        <f t="shared" si="78"/>
        <v>0</v>
      </c>
      <c r="DK156" s="169">
        <f t="shared" si="78"/>
        <v>0</v>
      </c>
      <c r="DL156" s="169">
        <f t="shared" si="78"/>
        <v>0</v>
      </c>
      <c r="DM156" s="169">
        <f t="shared" si="78"/>
        <v>0</v>
      </c>
      <c r="DN156" s="169">
        <f t="shared" si="78"/>
        <v>0</v>
      </c>
      <c r="DO156" s="169">
        <f t="shared" si="78"/>
        <v>0</v>
      </c>
      <c r="DP156" s="169">
        <f t="shared" si="78"/>
        <v>0</v>
      </c>
      <c r="DQ156" s="169">
        <f t="shared" si="78"/>
        <v>0</v>
      </c>
      <c r="DR156" s="169">
        <f t="shared" si="78"/>
        <v>0</v>
      </c>
      <c r="DS156" s="169">
        <f t="shared" si="78"/>
        <v>0</v>
      </c>
      <c r="DT156" s="169">
        <f t="shared" si="78"/>
        <v>0</v>
      </c>
      <c r="DU156" s="169">
        <f t="shared" si="78"/>
        <v>0</v>
      </c>
      <c r="DV156" s="169">
        <f t="shared" si="78"/>
        <v>0</v>
      </c>
      <c r="DW156" s="169">
        <f t="shared" si="78"/>
        <v>0</v>
      </c>
      <c r="DX156" s="169">
        <f t="shared" si="78"/>
        <v>0</v>
      </c>
      <c r="DY156" s="169">
        <f t="shared" si="78"/>
        <v>0</v>
      </c>
      <c r="DZ156" s="169">
        <f t="shared" si="78"/>
        <v>0</v>
      </c>
      <c r="EA156" s="169">
        <f t="shared" si="78"/>
        <v>0</v>
      </c>
      <c r="EB156" s="169">
        <f t="shared" si="78"/>
        <v>0</v>
      </c>
    </row>
    <row r="157" spans="1:132" x14ac:dyDescent="0.25">
      <c r="B157" s="14" t="s">
        <v>1307</v>
      </c>
      <c r="C157" s="169">
        <f>C151+C154</f>
        <v>0</v>
      </c>
      <c r="D157" s="259">
        <f t="shared" si="50"/>
        <v>0</v>
      </c>
      <c r="F157" s="14"/>
      <c r="AT157" s="183" t="str">
        <f>AT94</f>
        <v>lot8</v>
      </c>
      <c r="AV157" s="169">
        <f t="shared" ref="AV157:BS159" si="79">IF(AV105&gt;1,AV71,0)</f>
        <v>0</v>
      </c>
      <c r="AW157" s="169">
        <f t="shared" si="79"/>
        <v>0</v>
      </c>
      <c r="AX157" s="169">
        <f t="shared" si="79"/>
        <v>0</v>
      </c>
      <c r="AY157" s="169">
        <f t="shared" si="79"/>
        <v>0</v>
      </c>
      <c r="AZ157" s="169">
        <f t="shared" si="79"/>
        <v>0</v>
      </c>
      <c r="BA157" s="169">
        <f t="shared" si="79"/>
        <v>0</v>
      </c>
      <c r="BB157" s="169">
        <f t="shared" si="79"/>
        <v>0</v>
      </c>
      <c r="BC157" s="169">
        <f t="shared" si="79"/>
        <v>0</v>
      </c>
      <c r="BD157" s="169">
        <f t="shared" si="79"/>
        <v>0</v>
      </c>
      <c r="BE157" s="169">
        <f t="shared" si="79"/>
        <v>0</v>
      </c>
      <c r="BF157" s="169">
        <f t="shared" si="79"/>
        <v>0</v>
      </c>
      <c r="BG157" s="169">
        <f t="shared" si="79"/>
        <v>0</v>
      </c>
      <c r="BH157" s="169">
        <f t="shared" si="79"/>
        <v>0</v>
      </c>
      <c r="BI157" s="169">
        <f t="shared" si="79"/>
        <v>0</v>
      </c>
      <c r="BJ157" s="169">
        <f t="shared" si="79"/>
        <v>0</v>
      </c>
      <c r="BK157" s="169">
        <f t="shared" si="79"/>
        <v>0</v>
      </c>
      <c r="BL157" s="169">
        <f t="shared" si="79"/>
        <v>0</v>
      </c>
      <c r="BM157" s="169">
        <f t="shared" si="79"/>
        <v>0</v>
      </c>
      <c r="BN157" s="169">
        <f t="shared" si="79"/>
        <v>0</v>
      </c>
      <c r="BO157" s="169">
        <f t="shared" si="79"/>
        <v>0</v>
      </c>
      <c r="BP157" s="169">
        <f t="shared" si="79"/>
        <v>0</v>
      </c>
      <c r="BQ157" s="169">
        <f t="shared" si="79"/>
        <v>0</v>
      </c>
      <c r="BR157" s="169">
        <f t="shared" si="79"/>
        <v>0</v>
      </c>
      <c r="BS157" s="169">
        <f t="shared" si="79"/>
        <v>0</v>
      </c>
      <c r="BZ157" s="183" t="str">
        <f>BZ94</f>
        <v>lot8</v>
      </c>
      <c r="CB157" s="169">
        <f t="shared" ref="CB157:CY159" si="80">IF(CB105&gt;1,CB71,0)</f>
        <v>0</v>
      </c>
      <c r="CC157" s="169">
        <f t="shared" si="80"/>
        <v>0</v>
      </c>
      <c r="CD157" s="169">
        <f t="shared" si="80"/>
        <v>0</v>
      </c>
      <c r="CE157" s="169">
        <f t="shared" si="80"/>
        <v>0</v>
      </c>
      <c r="CF157" s="169">
        <f t="shared" si="80"/>
        <v>0</v>
      </c>
      <c r="CG157" s="169">
        <f t="shared" si="80"/>
        <v>0</v>
      </c>
      <c r="CH157" s="169">
        <f t="shared" si="80"/>
        <v>0</v>
      </c>
      <c r="CI157" s="169">
        <f t="shared" si="80"/>
        <v>0</v>
      </c>
      <c r="CJ157" s="169">
        <f t="shared" si="80"/>
        <v>0</v>
      </c>
      <c r="CK157" s="169">
        <f t="shared" si="80"/>
        <v>0</v>
      </c>
      <c r="CL157" s="169">
        <f t="shared" si="80"/>
        <v>0</v>
      </c>
      <c r="CM157" s="169">
        <f t="shared" si="80"/>
        <v>0</v>
      </c>
      <c r="CN157" s="169">
        <f t="shared" si="80"/>
        <v>0</v>
      </c>
      <c r="CO157" s="169">
        <f t="shared" si="80"/>
        <v>0</v>
      </c>
      <c r="CP157" s="169">
        <f t="shared" si="80"/>
        <v>0</v>
      </c>
      <c r="CQ157" s="169">
        <f t="shared" si="80"/>
        <v>0</v>
      </c>
      <c r="CR157" s="169">
        <f t="shared" si="80"/>
        <v>0</v>
      </c>
      <c r="CS157" s="169">
        <f t="shared" si="80"/>
        <v>0</v>
      </c>
      <c r="CT157" s="169">
        <f t="shared" si="80"/>
        <v>0</v>
      </c>
      <c r="CU157" s="169">
        <f t="shared" si="80"/>
        <v>0</v>
      </c>
      <c r="CV157" s="169">
        <f t="shared" si="80"/>
        <v>0</v>
      </c>
      <c r="CW157" s="169">
        <f t="shared" si="80"/>
        <v>0</v>
      </c>
      <c r="CX157" s="169">
        <f t="shared" si="80"/>
        <v>0</v>
      </c>
      <c r="CY157" s="169">
        <f t="shared" si="80"/>
        <v>0</v>
      </c>
      <c r="DC157" s="183" t="str">
        <f>DC94</f>
        <v>lot8</v>
      </c>
      <c r="DE157" s="169">
        <f t="shared" ref="DE157:EB159" si="81">IF(DE105&gt;1,DE71,0)</f>
        <v>0</v>
      </c>
      <c r="DF157" s="169">
        <f t="shared" si="81"/>
        <v>0</v>
      </c>
      <c r="DG157" s="169">
        <f t="shared" si="81"/>
        <v>0</v>
      </c>
      <c r="DH157" s="169">
        <f t="shared" si="81"/>
        <v>0</v>
      </c>
      <c r="DI157" s="169">
        <f t="shared" si="81"/>
        <v>0</v>
      </c>
      <c r="DJ157" s="169">
        <f t="shared" si="81"/>
        <v>0</v>
      </c>
      <c r="DK157" s="169">
        <f t="shared" si="81"/>
        <v>0</v>
      </c>
      <c r="DL157" s="169">
        <f t="shared" si="81"/>
        <v>0</v>
      </c>
      <c r="DM157" s="169">
        <f t="shared" si="81"/>
        <v>0</v>
      </c>
      <c r="DN157" s="169">
        <f t="shared" si="81"/>
        <v>0</v>
      </c>
      <c r="DO157" s="169">
        <f t="shared" si="81"/>
        <v>0</v>
      </c>
      <c r="DP157" s="169">
        <f t="shared" si="81"/>
        <v>0</v>
      </c>
      <c r="DQ157" s="169">
        <f t="shared" si="81"/>
        <v>0</v>
      </c>
      <c r="DR157" s="169">
        <f t="shared" si="81"/>
        <v>0</v>
      </c>
      <c r="DS157" s="169">
        <f t="shared" si="81"/>
        <v>0</v>
      </c>
      <c r="DT157" s="169">
        <f t="shared" si="81"/>
        <v>0</v>
      </c>
      <c r="DU157" s="169">
        <f t="shared" si="81"/>
        <v>0</v>
      </c>
      <c r="DV157" s="169">
        <f t="shared" si="81"/>
        <v>0</v>
      </c>
      <c r="DW157" s="169">
        <f t="shared" si="81"/>
        <v>0</v>
      </c>
      <c r="DX157" s="169">
        <f t="shared" si="81"/>
        <v>0</v>
      </c>
      <c r="DY157" s="169">
        <f t="shared" si="81"/>
        <v>0</v>
      </c>
      <c r="DZ157" s="169">
        <f t="shared" si="81"/>
        <v>0</v>
      </c>
      <c r="EA157" s="169">
        <f t="shared" si="81"/>
        <v>0</v>
      </c>
      <c r="EB157" s="169">
        <f t="shared" si="81"/>
        <v>0</v>
      </c>
    </row>
    <row r="158" spans="1:132" x14ac:dyDescent="0.25">
      <c r="B158" s="14" t="s">
        <v>1308</v>
      </c>
      <c r="C158" s="169">
        <f t="shared" ref="C158:C159" si="82">C152+C155</f>
        <v>0</v>
      </c>
      <c r="D158" s="259">
        <f t="shared" si="50"/>
        <v>0</v>
      </c>
      <c r="AT158" s="183" t="str">
        <f>AT95</f>
        <v>lot9</v>
      </c>
      <c r="AV158" s="169">
        <f t="shared" si="79"/>
        <v>0</v>
      </c>
      <c r="AW158" s="169">
        <f t="shared" si="79"/>
        <v>0</v>
      </c>
      <c r="AX158" s="169">
        <f t="shared" si="79"/>
        <v>0</v>
      </c>
      <c r="AY158" s="169">
        <f t="shared" si="79"/>
        <v>0</v>
      </c>
      <c r="AZ158" s="169">
        <f t="shared" si="79"/>
        <v>0</v>
      </c>
      <c r="BA158" s="169">
        <f t="shared" si="79"/>
        <v>0</v>
      </c>
      <c r="BB158" s="169">
        <f t="shared" si="79"/>
        <v>0</v>
      </c>
      <c r="BC158" s="169">
        <f t="shared" si="79"/>
        <v>0</v>
      </c>
      <c r="BD158" s="169">
        <f t="shared" si="79"/>
        <v>0</v>
      </c>
      <c r="BE158" s="169">
        <f t="shared" si="79"/>
        <v>0</v>
      </c>
      <c r="BF158" s="169">
        <f t="shared" si="79"/>
        <v>0</v>
      </c>
      <c r="BG158" s="169">
        <f t="shared" si="79"/>
        <v>0</v>
      </c>
      <c r="BH158" s="169">
        <f t="shared" si="79"/>
        <v>0</v>
      </c>
      <c r="BI158" s="169">
        <f t="shared" si="79"/>
        <v>0</v>
      </c>
      <c r="BJ158" s="169">
        <f t="shared" si="79"/>
        <v>0</v>
      </c>
      <c r="BK158" s="169">
        <f t="shared" si="79"/>
        <v>0</v>
      </c>
      <c r="BL158" s="169">
        <f t="shared" si="79"/>
        <v>0</v>
      </c>
      <c r="BM158" s="169">
        <f t="shared" si="79"/>
        <v>0</v>
      </c>
      <c r="BN158" s="169">
        <f t="shared" si="79"/>
        <v>0</v>
      </c>
      <c r="BO158" s="169">
        <f t="shared" si="79"/>
        <v>0</v>
      </c>
      <c r="BP158" s="169">
        <f t="shared" si="79"/>
        <v>0</v>
      </c>
      <c r="BQ158" s="169">
        <f t="shared" si="79"/>
        <v>0</v>
      </c>
      <c r="BR158" s="169">
        <f t="shared" si="79"/>
        <v>0</v>
      </c>
      <c r="BS158" s="169">
        <f t="shared" si="79"/>
        <v>0</v>
      </c>
      <c r="BZ158" s="183" t="str">
        <f>BZ95</f>
        <v>lot9</v>
      </c>
      <c r="CB158" s="169">
        <f t="shared" si="80"/>
        <v>0</v>
      </c>
      <c r="CC158" s="169">
        <f t="shared" si="80"/>
        <v>0</v>
      </c>
      <c r="CD158" s="169">
        <f t="shared" si="80"/>
        <v>0</v>
      </c>
      <c r="CE158" s="169">
        <f t="shared" si="80"/>
        <v>0</v>
      </c>
      <c r="CF158" s="169">
        <f t="shared" si="80"/>
        <v>0</v>
      </c>
      <c r="CG158" s="169">
        <f t="shared" si="80"/>
        <v>0</v>
      </c>
      <c r="CH158" s="169">
        <f t="shared" si="80"/>
        <v>0</v>
      </c>
      <c r="CI158" s="169">
        <f t="shared" si="80"/>
        <v>0</v>
      </c>
      <c r="CJ158" s="169">
        <f t="shared" si="80"/>
        <v>0</v>
      </c>
      <c r="CK158" s="169">
        <f t="shared" si="80"/>
        <v>0</v>
      </c>
      <c r="CL158" s="169">
        <f t="shared" si="80"/>
        <v>0</v>
      </c>
      <c r="CM158" s="169">
        <f t="shared" si="80"/>
        <v>0</v>
      </c>
      <c r="CN158" s="169">
        <f t="shared" si="80"/>
        <v>0</v>
      </c>
      <c r="CO158" s="169">
        <f t="shared" si="80"/>
        <v>0</v>
      </c>
      <c r="CP158" s="169">
        <f t="shared" si="80"/>
        <v>0</v>
      </c>
      <c r="CQ158" s="169">
        <f t="shared" si="80"/>
        <v>0</v>
      </c>
      <c r="CR158" s="169">
        <f t="shared" si="80"/>
        <v>0</v>
      </c>
      <c r="CS158" s="169">
        <f t="shared" si="80"/>
        <v>0</v>
      </c>
      <c r="CT158" s="169">
        <f t="shared" si="80"/>
        <v>0</v>
      </c>
      <c r="CU158" s="169">
        <f t="shared" si="80"/>
        <v>0</v>
      </c>
      <c r="CV158" s="169">
        <f t="shared" si="80"/>
        <v>0</v>
      </c>
      <c r="CW158" s="169">
        <f t="shared" si="80"/>
        <v>0</v>
      </c>
      <c r="CX158" s="169">
        <f t="shared" si="80"/>
        <v>0</v>
      </c>
      <c r="CY158" s="169">
        <f t="shared" si="80"/>
        <v>0</v>
      </c>
      <c r="DC158" s="183" t="str">
        <f>DC95</f>
        <v>lot9</v>
      </c>
      <c r="DE158" s="169">
        <f t="shared" si="81"/>
        <v>0</v>
      </c>
      <c r="DF158" s="169">
        <f t="shared" si="81"/>
        <v>0</v>
      </c>
      <c r="DG158" s="169">
        <f t="shared" si="81"/>
        <v>0</v>
      </c>
      <c r="DH158" s="169">
        <f t="shared" si="81"/>
        <v>0</v>
      </c>
      <c r="DI158" s="169">
        <f t="shared" si="81"/>
        <v>0</v>
      </c>
      <c r="DJ158" s="169">
        <f t="shared" si="81"/>
        <v>0</v>
      </c>
      <c r="DK158" s="169">
        <f t="shared" si="81"/>
        <v>0</v>
      </c>
      <c r="DL158" s="169">
        <f t="shared" si="81"/>
        <v>0</v>
      </c>
      <c r="DM158" s="169">
        <f t="shared" si="81"/>
        <v>0</v>
      </c>
      <c r="DN158" s="169">
        <f t="shared" si="81"/>
        <v>0</v>
      </c>
      <c r="DO158" s="169">
        <f t="shared" si="81"/>
        <v>0</v>
      </c>
      <c r="DP158" s="169">
        <f t="shared" si="81"/>
        <v>0</v>
      </c>
      <c r="DQ158" s="169">
        <f t="shared" si="81"/>
        <v>0</v>
      </c>
      <c r="DR158" s="169">
        <f t="shared" si="81"/>
        <v>0</v>
      </c>
      <c r="DS158" s="169">
        <f t="shared" si="81"/>
        <v>0</v>
      </c>
      <c r="DT158" s="169">
        <f t="shared" si="81"/>
        <v>0</v>
      </c>
      <c r="DU158" s="169">
        <f t="shared" si="81"/>
        <v>0</v>
      </c>
      <c r="DV158" s="169">
        <f t="shared" si="81"/>
        <v>0</v>
      </c>
      <c r="DW158" s="169">
        <f t="shared" si="81"/>
        <v>0</v>
      </c>
      <c r="DX158" s="169">
        <f t="shared" si="81"/>
        <v>0</v>
      </c>
      <c r="DY158" s="169">
        <f t="shared" si="81"/>
        <v>0</v>
      </c>
      <c r="DZ158" s="169">
        <f t="shared" si="81"/>
        <v>0</v>
      </c>
      <c r="EA158" s="169">
        <f t="shared" si="81"/>
        <v>0</v>
      </c>
      <c r="EB158" s="169">
        <f t="shared" si="81"/>
        <v>0</v>
      </c>
    </row>
    <row r="159" spans="1:132" x14ac:dyDescent="0.25">
      <c r="B159" s="14" t="s">
        <v>1309</v>
      </c>
      <c r="C159" s="169">
        <f t="shared" si="82"/>
        <v>0</v>
      </c>
      <c r="D159" s="259">
        <f t="shared" si="50"/>
        <v>0</v>
      </c>
      <c r="AT159" s="183" t="str">
        <f>AT96</f>
        <v>lot10</v>
      </c>
      <c r="AV159" s="169">
        <f t="shared" si="79"/>
        <v>0</v>
      </c>
      <c r="AW159" s="169">
        <f t="shared" si="79"/>
        <v>0</v>
      </c>
      <c r="AX159" s="169">
        <f t="shared" si="79"/>
        <v>0</v>
      </c>
      <c r="AY159" s="169">
        <f t="shared" si="79"/>
        <v>0</v>
      </c>
      <c r="AZ159" s="169">
        <f t="shared" si="79"/>
        <v>0</v>
      </c>
      <c r="BA159" s="169">
        <f t="shared" si="79"/>
        <v>0</v>
      </c>
      <c r="BB159" s="169">
        <f t="shared" si="79"/>
        <v>0</v>
      </c>
      <c r="BC159" s="169">
        <f t="shared" si="79"/>
        <v>0</v>
      </c>
      <c r="BD159" s="169">
        <f t="shared" si="79"/>
        <v>0</v>
      </c>
      <c r="BE159" s="169">
        <f t="shared" si="79"/>
        <v>0</v>
      </c>
      <c r="BF159" s="169">
        <f t="shared" si="79"/>
        <v>0</v>
      </c>
      <c r="BG159" s="169">
        <f t="shared" si="79"/>
        <v>0</v>
      </c>
      <c r="BH159" s="169">
        <f t="shared" si="79"/>
        <v>0</v>
      </c>
      <c r="BI159" s="169">
        <f t="shared" si="79"/>
        <v>0</v>
      </c>
      <c r="BJ159" s="169">
        <f t="shared" si="79"/>
        <v>0</v>
      </c>
      <c r="BK159" s="169">
        <f t="shared" si="79"/>
        <v>0</v>
      </c>
      <c r="BL159" s="169">
        <f t="shared" si="79"/>
        <v>0</v>
      </c>
      <c r="BM159" s="169">
        <f t="shared" si="79"/>
        <v>0</v>
      </c>
      <c r="BN159" s="169">
        <f t="shared" si="79"/>
        <v>0</v>
      </c>
      <c r="BO159" s="169">
        <f t="shared" si="79"/>
        <v>0</v>
      </c>
      <c r="BP159" s="169">
        <f t="shared" si="79"/>
        <v>0</v>
      </c>
      <c r="BQ159" s="169">
        <f t="shared" si="79"/>
        <v>0</v>
      </c>
      <c r="BR159" s="169">
        <f t="shared" si="79"/>
        <v>0</v>
      </c>
      <c r="BS159" s="169">
        <f t="shared" si="79"/>
        <v>0</v>
      </c>
      <c r="BZ159" s="183" t="str">
        <f>BZ96</f>
        <v>lot10</v>
      </c>
      <c r="CB159" s="169">
        <f t="shared" si="80"/>
        <v>0</v>
      </c>
      <c r="CC159" s="169">
        <f t="shared" si="80"/>
        <v>0</v>
      </c>
      <c r="CD159" s="169">
        <f t="shared" si="80"/>
        <v>0</v>
      </c>
      <c r="CE159" s="169">
        <f t="shared" si="80"/>
        <v>0</v>
      </c>
      <c r="CF159" s="169">
        <f t="shared" si="80"/>
        <v>0</v>
      </c>
      <c r="CG159" s="169">
        <f t="shared" si="80"/>
        <v>0</v>
      </c>
      <c r="CH159" s="169">
        <f t="shared" si="80"/>
        <v>0</v>
      </c>
      <c r="CI159" s="169">
        <f t="shared" si="80"/>
        <v>0</v>
      </c>
      <c r="CJ159" s="169">
        <f t="shared" si="80"/>
        <v>0</v>
      </c>
      <c r="CK159" s="169">
        <f t="shared" si="80"/>
        <v>0</v>
      </c>
      <c r="CL159" s="169">
        <f t="shared" si="80"/>
        <v>0</v>
      </c>
      <c r="CM159" s="169">
        <f t="shared" si="80"/>
        <v>0</v>
      </c>
      <c r="CN159" s="169">
        <f t="shared" si="80"/>
        <v>0</v>
      </c>
      <c r="CO159" s="169">
        <f t="shared" si="80"/>
        <v>0</v>
      </c>
      <c r="CP159" s="169">
        <f t="shared" si="80"/>
        <v>0</v>
      </c>
      <c r="CQ159" s="169">
        <f t="shared" si="80"/>
        <v>0</v>
      </c>
      <c r="CR159" s="169">
        <f t="shared" si="80"/>
        <v>0</v>
      </c>
      <c r="CS159" s="169">
        <f t="shared" si="80"/>
        <v>0</v>
      </c>
      <c r="CT159" s="169">
        <f t="shared" si="80"/>
        <v>0</v>
      </c>
      <c r="CU159" s="169">
        <f t="shared" si="80"/>
        <v>0</v>
      </c>
      <c r="CV159" s="169">
        <f t="shared" si="80"/>
        <v>0</v>
      </c>
      <c r="CW159" s="169">
        <f t="shared" si="80"/>
        <v>0</v>
      </c>
      <c r="CX159" s="169">
        <f t="shared" si="80"/>
        <v>0</v>
      </c>
      <c r="CY159" s="169">
        <f t="shared" si="80"/>
        <v>0</v>
      </c>
      <c r="DC159" s="183" t="str">
        <f>DC96</f>
        <v>lot10</v>
      </c>
      <c r="DE159" s="169">
        <f t="shared" si="81"/>
        <v>0</v>
      </c>
      <c r="DF159" s="169">
        <f t="shared" si="81"/>
        <v>0</v>
      </c>
      <c r="DG159" s="169">
        <f t="shared" si="81"/>
        <v>0</v>
      </c>
      <c r="DH159" s="169">
        <f t="shared" si="81"/>
        <v>0</v>
      </c>
      <c r="DI159" s="169">
        <f t="shared" si="81"/>
        <v>0</v>
      </c>
      <c r="DJ159" s="169">
        <f t="shared" si="81"/>
        <v>0</v>
      </c>
      <c r="DK159" s="169">
        <f t="shared" si="81"/>
        <v>0</v>
      </c>
      <c r="DL159" s="169">
        <f t="shared" si="81"/>
        <v>0</v>
      </c>
      <c r="DM159" s="169">
        <f t="shared" si="81"/>
        <v>0</v>
      </c>
      <c r="DN159" s="169">
        <f t="shared" si="81"/>
        <v>0</v>
      </c>
      <c r="DO159" s="169">
        <f t="shared" si="81"/>
        <v>0</v>
      </c>
      <c r="DP159" s="169">
        <f t="shared" si="81"/>
        <v>0</v>
      </c>
      <c r="DQ159" s="169">
        <f t="shared" si="81"/>
        <v>0</v>
      </c>
      <c r="DR159" s="169">
        <f t="shared" si="81"/>
        <v>0</v>
      </c>
      <c r="DS159" s="169">
        <f t="shared" si="81"/>
        <v>0</v>
      </c>
      <c r="DT159" s="169">
        <f t="shared" si="81"/>
        <v>0</v>
      </c>
      <c r="DU159" s="169">
        <f t="shared" si="81"/>
        <v>0</v>
      </c>
      <c r="DV159" s="169">
        <f t="shared" si="81"/>
        <v>0</v>
      </c>
      <c r="DW159" s="169">
        <f t="shared" si="81"/>
        <v>0</v>
      </c>
      <c r="DX159" s="169">
        <f t="shared" si="81"/>
        <v>0</v>
      </c>
      <c r="DY159" s="169">
        <f t="shared" si="81"/>
        <v>0</v>
      </c>
      <c r="DZ159" s="169">
        <f t="shared" si="81"/>
        <v>0</v>
      </c>
      <c r="EA159" s="169">
        <f t="shared" si="81"/>
        <v>0</v>
      </c>
      <c r="EB159" s="169">
        <f t="shared" si="81"/>
        <v>0</v>
      </c>
    </row>
    <row r="160" spans="1:132" x14ac:dyDescent="0.25">
      <c r="B160" s="14" t="s">
        <v>1310</v>
      </c>
      <c r="C160" s="169">
        <f>'Calcul éco'!C30</f>
        <v>0</v>
      </c>
      <c r="D160" s="259">
        <f t="shared" si="50"/>
        <v>0</v>
      </c>
      <c r="AT160" s="19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1311</v>
      </c>
      <c r="B161" s="14" t="s">
        <v>1312</v>
      </c>
      <c r="C161" s="258">
        <f>IF(Troupeau!$B$3="OL",CdTrp1!$AA$159,0)</f>
        <v>0</v>
      </c>
      <c r="D161" s="259">
        <f t="shared" si="50"/>
        <v>0</v>
      </c>
      <c r="AT161" s="183" t="s">
        <v>875</v>
      </c>
      <c r="AV161" s="169">
        <f>IF($AT$62="OL",AV160/50,AV160/10)</f>
        <v>0</v>
      </c>
      <c r="AW161" s="169">
        <f t="shared" ref="AW161:BS161" si="86">IF($AT$62="OL",AW160/50,AW160/10)</f>
        <v>0</v>
      </c>
      <c r="AX161" s="169">
        <f t="shared" si="86"/>
        <v>0</v>
      </c>
      <c r="AY161" s="169">
        <f t="shared" si="86"/>
        <v>0</v>
      </c>
      <c r="AZ161" s="169">
        <f t="shared" si="86"/>
        <v>0</v>
      </c>
      <c r="BA161" s="169">
        <f t="shared" si="86"/>
        <v>0</v>
      </c>
      <c r="BB161" s="169">
        <f t="shared" si="86"/>
        <v>0</v>
      </c>
      <c r="BC161" s="169">
        <f t="shared" si="86"/>
        <v>0</v>
      </c>
      <c r="BD161" s="169">
        <f t="shared" si="86"/>
        <v>0</v>
      </c>
      <c r="BE161" s="169">
        <f t="shared" si="86"/>
        <v>0</v>
      </c>
      <c r="BF161" s="169">
        <f t="shared" si="86"/>
        <v>0</v>
      </c>
      <c r="BG161" s="169">
        <f t="shared" si="86"/>
        <v>0</v>
      </c>
      <c r="BH161" s="169">
        <f t="shared" si="86"/>
        <v>0</v>
      </c>
      <c r="BI161" s="169">
        <f t="shared" si="86"/>
        <v>0</v>
      </c>
      <c r="BJ161" s="169">
        <f t="shared" si="86"/>
        <v>0</v>
      </c>
      <c r="BK161" s="169">
        <f t="shared" si="86"/>
        <v>0</v>
      </c>
      <c r="BL161" s="169">
        <f t="shared" si="86"/>
        <v>0</v>
      </c>
      <c r="BM161" s="169">
        <f t="shared" si="86"/>
        <v>0</v>
      </c>
      <c r="BN161" s="169">
        <f t="shared" si="86"/>
        <v>0</v>
      </c>
      <c r="BO161" s="169">
        <f t="shared" si="86"/>
        <v>0</v>
      </c>
      <c r="BP161" s="169">
        <f t="shared" si="86"/>
        <v>0</v>
      </c>
      <c r="BQ161" s="169">
        <f t="shared" si="86"/>
        <v>0</v>
      </c>
      <c r="BR161" s="169">
        <f t="shared" si="86"/>
        <v>0</v>
      </c>
      <c r="BS161" s="169">
        <f t="shared" si="86"/>
        <v>0</v>
      </c>
      <c r="BZ161" s="32" t="s">
        <v>875</v>
      </c>
      <c r="CB161" s="169">
        <f>IF($AT$62="OL",CB160/50,CB160/10)</f>
        <v>0</v>
      </c>
      <c r="CC161" s="169">
        <f t="shared" ref="CC161:CY161" si="87">IF($AT$62="OL",CC160/50,CC160/10)</f>
        <v>0</v>
      </c>
      <c r="CD161" s="169">
        <f t="shared" si="87"/>
        <v>0</v>
      </c>
      <c r="CE161" s="169">
        <f t="shared" si="87"/>
        <v>0</v>
      </c>
      <c r="CF161" s="169">
        <f t="shared" si="87"/>
        <v>0</v>
      </c>
      <c r="CG161" s="169">
        <f t="shared" si="87"/>
        <v>0</v>
      </c>
      <c r="CH161" s="169">
        <f t="shared" si="87"/>
        <v>0</v>
      </c>
      <c r="CI161" s="169">
        <f t="shared" si="87"/>
        <v>0</v>
      </c>
      <c r="CJ161" s="169">
        <f t="shared" si="87"/>
        <v>0</v>
      </c>
      <c r="CK161" s="169">
        <f t="shared" si="87"/>
        <v>0</v>
      </c>
      <c r="CL161" s="169">
        <f t="shared" si="87"/>
        <v>0</v>
      </c>
      <c r="CM161" s="169">
        <f t="shared" si="87"/>
        <v>0</v>
      </c>
      <c r="CN161" s="169">
        <f t="shared" si="87"/>
        <v>0</v>
      </c>
      <c r="CO161" s="169">
        <f t="shared" si="87"/>
        <v>0</v>
      </c>
      <c r="CP161" s="169">
        <f t="shared" si="87"/>
        <v>0</v>
      </c>
      <c r="CQ161" s="169">
        <f t="shared" si="87"/>
        <v>0</v>
      </c>
      <c r="CR161" s="169">
        <f t="shared" si="87"/>
        <v>0</v>
      </c>
      <c r="CS161" s="169">
        <f t="shared" si="87"/>
        <v>0</v>
      </c>
      <c r="CT161" s="169">
        <f t="shared" si="87"/>
        <v>0</v>
      </c>
      <c r="CU161" s="169">
        <f t="shared" si="87"/>
        <v>0</v>
      </c>
      <c r="CV161" s="169">
        <f t="shared" si="87"/>
        <v>0</v>
      </c>
      <c r="CW161" s="169">
        <f t="shared" si="87"/>
        <v>0</v>
      </c>
      <c r="CX161" s="169">
        <f t="shared" si="87"/>
        <v>0</v>
      </c>
      <c r="CY161" s="169">
        <f t="shared" si="87"/>
        <v>0</v>
      </c>
      <c r="DC161" s="32" t="s">
        <v>875</v>
      </c>
      <c r="DE161" s="169">
        <f>IF($AT$62="OL",DE160/50,DE160/10)</f>
        <v>0</v>
      </c>
      <c r="DF161" s="169">
        <f t="shared" ref="DF161:EB161" si="88">IF($AT$62="OL",DF160/50,DF160/10)</f>
        <v>0</v>
      </c>
      <c r="DG161" s="169">
        <f t="shared" si="88"/>
        <v>0</v>
      </c>
      <c r="DH161" s="169">
        <f t="shared" si="88"/>
        <v>0</v>
      </c>
      <c r="DI161" s="169">
        <f t="shared" si="88"/>
        <v>0</v>
      </c>
      <c r="DJ161" s="169">
        <f t="shared" si="88"/>
        <v>0</v>
      </c>
      <c r="DK161" s="169">
        <f t="shared" si="88"/>
        <v>0</v>
      </c>
      <c r="DL161" s="169">
        <f t="shared" si="88"/>
        <v>0</v>
      </c>
      <c r="DM161" s="169">
        <f t="shared" si="88"/>
        <v>0</v>
      </c>
      <c r="DN161" s="169">
        <f t="shared" si="88"/>
        <v>0</v>
      </c>
      <c r="DO161" s="169">
        <f t="shared" si="88"/>
        <v>0</v>
      </c>
      <c r="DP161" s="169">
        <f t="shared" si="88"/>
        <v>0</v>
      </c>
      <c r="DQ161" s="169">
        <f t="shared" si="88"/>
        <v>0</v>
      </c>
      <c r="DR161" s="169">
        <f t="shared" si="88"/>
        <v>0</v>
      </c>
      <c r="DS161" s="169">
        <f t="shared" si="88"/>
        <v>0</v>
      </c>
      <c r="DT161" s="169">
        <f t="shared" si="88"/>
        <v>0</v>
      </c>
      <c r="DU161" s="169">
        <f t="shared" si="88"/>
        <v>0</v>
      </c>
      <c r="DV161" s="169">
        <f t="shared" si="88"/>
        <v>0</v>
      </c>
      <c r="DW161" s="169">
        <f t="shared" si="88"/>
        <v>0</v>
      </c>
      <c r="DX161" s="169">
        <f t="shared" si="88"/>
        <v>0</v>
      </c>
      <c r="DY161" s="169">
        <f t="shared" si="88"/>
        <v>0</v>
      </c>
      <c r="DZ161" s="169">
        <f t="shared" si="88"/>
        <v>0</v>
      </c>
      <c r="EA161" s="169">
        <f t="shared" si="88"/>
        <v>0</v>
      </c>
      <c r="EB161" s="169">
        <f t="shared" si="88"/>
        <v>0</v>
      </c>
    </row>
    <row r="162" spans="1:132" x14ac:dyDescent="0.25">
      <c r="A162" t="s">
        <v>1313</v>
      </c>
      <c r="B162" s="14" t="s">
        <v>1314</v>
      </c>
      <c r="C162" s="258">
        <f>IF(Troupeau!$B$3="OL",CdTrp1!$AA$147,0)</f>
        <v>0</v>
      </c>
      <c r="D162" s="259">
        <f t="shared" si="50"/>
        <v>0</v>
      </c>
      <c r="AT162" s="183" t="s">
        <v>877</v>
      </c>
      <c r="AV162" s="169">
        <f>IF(AV161&gt;1,AV161-1,0)</f>
        <v>0</v>
      </c>
      <c r="AW162" s="169">
        <f t="shared" ref="AW162:BS162" si="89">IF(AW161&gt;1,AW161-1,0)</f>
        <v>0</v>
      </c>
      <c r="AX162" s="169">
        <f t="shared" si="89"/>
        <v>0</v>
      </c>
      <c r="AY162" s="169">
        <f t="shared" si="89"/>
        <v>0</v>
      </c>
      <c r="AZ162" s="169">
        <f t="shared" si="89"/>
        <v>0</v>
      </c>
      <c r="BA162" s="169">
        <f t="shared" si="89"/>
        <v>0</v>
      </c>
      <c r="BB162" s="169">
        <f t="shared" si="89"/>
        <v>0</v>
      </c>
      <c r="BC162" s="169">
        <f t="shared" si="89"/>
        <v>0</v>
      </c>
      <c r="BD162" s="169">
        <f t="shared" si="89"/>
        <v>0</v>
      </c>
      <c r="BE162" s="169">
        <f t="shared" si="89"/>
        <v>0</v>
      </c>
      <c r="BF162" s="169">
        <f t="shared" si="89"/>
        <v>0</v>
      </c>
      <c r="BG162" s="169">
        <f t="shared" si="89"/>
        <v>0</v>
      </c>
      <c r="BH162" s="169">
        <f t="shared" si="89"/>
        <v>0</v>
      </c>
      <c r="BI162" s="169">
        <f t="shared" si="89"/>
        <v>0</v>
      </c>
      <c r="BJ162" s="169">
        <f t="shared" si="89"/>
        <v>0</v>
      </c>
      <c r="BK162" s="169">
        <f t="shared" si="89"/>
        <v>0</v>
      </c>
      <c r="BL162" s="169">
        <f t="shared" si="89"/>
        <v>0</v>
      </c>
      <c r="BM162" s="169">
        <f t="shared" si="89"/>
        <v>0</v>
      </c>
      <c r="BN162" s="169">
        <f t="shared" si="89"/>
        <v>0</v>
      </c>
      <c r="BO162" s="169">
        <f t="shared" si="89"/>
        <v>0</v>
      </c>
      <c r="BP162" s="169">
        <f t="shared" si="89"/>
        <v>0</v>
      </c>
      <c r="BQ162" s="169">
        <f t="shared" si="89"/>
        <v>0</v>
      </c>
      <c r="BR162" s="169">
        <f t="shared" si="89"/>
        <v>0</v>
      </c>
      <c r="BS162" s="169">
        <f t="shared" si="89"/>
        <v>0</v>
      </c>
      <c r="BZ162" s="32" t="s">
        <v>877</v>
      </c>
      <c r="CB162" s="169">
        <f>IF(CB161&gt;1,CB161-1,0)</f>
        <v>0</v>
      </c>
      <c r="CC162" s="169">
        <f t="shared" ref="CC162:CY162" si="90">IF(CC161&gt;1,CC161-1,0)</f>
        <v>0</v>
      </c>
      <c r="CD162" s="169">
        <f t="shared" si="90"/>
        <v>0</v>
      </c>
      <c r="CE162" s="169">
        <f t="shared" si="90"/>
        <v>0</v>
      </c>
      <c r="CF162" s="169">
        <f t="shared" si="90"/>
        <v>0</v>
      </c>
      <c r="CG162" s="169">
        <f t="shared" si="90"/>
        <v>0</v>
      </c>
      <c r="CH162" s="169">
        <f t="shared" si="90"/>
        <v>0</v>
      </c>
      <c r="CI162" s="169">
        <f t="shared" si="90"/>
        <v>0</v>
      </c>
      <c r="CJ162" s="169">
        <f t="shared" si="90"/>
        <v>0</v>
      </c>
      <c r="CK162" s="169">
        <f t="shared" si="90"/>
        <v>0</v>
      </c>
      <c r="CL162" s="169">
        <f t="shared" si="90"/>
        <v>0</v>
      </c>
      <c r="CM162" s="169">
        <f t="shared" si="90"/>
        <v>0</v>
      </c>
      <c r="CN162" s="169">
        <f t="shared" si="90"/>
        <v>0</v>
      </c>
      <c r="CO162" s="169">
        <f t="shared" si="90"/>
        <v>0</v>
      </c>
      <c r="CP162" s="169">
        <f t="shared" si="90"/>
        <v>0</v>
      </c>
      <c r="CQ162" s="169">
        <f t="shared" si="90"/>
        <v>0</v>
      </c>
      <c r="CR162" s="169">
        <f t="shared" si="90"/>
        <v>0</v>
      </c>
      <c r="CS162" s="169">
        <f t="shared" si="90"/>
        <v>0</v>
      </c>
      <c r="CT162" s="169">
        <f t="shared" si="90"/>
        <v>0</v>
      </c>
      <c r="CU162" s="169">
        <f t="shared" si="90"/>
        <v>0</v>
      </c>
      <c r="CV162" s="169">
        <f t="shared" si="90"/>
        <v>0</v>
      </c>
      <c r="CW162" s="169">
        <f t="shared" si="90"/>
        <v>0</v>
      </c>
      <c r="CX162" s="169">
        <f t="shared" si="90"/>
        <v>0</v>
      </c>
      <c r="CY162" s="169">
        <f t="shared" si="90"/>
        <v>0</v>
      </c>
      <c r="DC162" s="32" t="s">
        <v>877</v>
      </c>
      <c r="DE162" s="169">
        <f>IF(DE161&gt;1,DE161-1,0)</f>
        <v>0</v>
      </c>
      <c r="DF162" s="169">
        <f t="shared" ref="DF162:EB162" si="91">IF(DF161&gt;1,DF161-1,0)</f>
        <v>0</v>
      </c>
      <c r="DG162" s="169">
        <f t="shared" si="91"/>
        <v>0</v>
      </c>
      <c r="DH162" s="169">
        <f t="shared" si="91"/>
        <v>0</v>
      </c>
      <c r="DI162" s="169">
        <f t="shared" si="91"/>
        <v>0</v>
      </c>
      <c r="DJ162" s="169">
        <f t="shared" si="91"/>
        <v>0</v>
      </c>
      <c r="DK162" s="169">
        <f t="shared" si="91"/>
        <v>0</v>
      </c>
      <c r="DL162" s="169">
        <f t="shared" si="91"/>
        <v>0</v>
      </c>
      <c r="DM162" s="169">
        <f t="shared" si="91"/>
        <v>0</v>
      </c>
      <c r="DN162" s="169">
        <f t="shared" si="91"/>
        <v>0</v>
      </c>
      <c r="DO162" s="169">
        <f t="shared" si="91"/>
        <v>0</v>
      </c>
      <c r="DP162" s="169">
        <f t="shared" si="91"/>
        <v>0</v>
      </c>
      <c r="DQ162" s="169">
        <f t="shared" si="91"/>
        <v>0</v>
      </c>
      <c r="DR162" s="169">
        <f t="shared" si="91"/>
        <v>0</v>
      </c>
      <c r="DS162" s="169">
        <f t="shared" si="91"/>
        <v>0</v>
      </c>
      <c r="DT162" s="169">
        <f t="shared" si="91"/>
        <v>0</v>
      </c>
      <c r="DU162" s="169">
        <f t="shared" si="91"/>
        <v>0</v>
      </c>
      <c r="DV162" s="169">
        <f t="shared" si="91"/>
        <v>0</v>
      </c>
      <c r="DW162" s="169">
        <f t="shared" si="91"/>
        <v>0</v>
      </c>
      <c r="DX162" s="169">
        <f t="shared" si="91"/>
        <v>0</v>
      </c>
      <c r="DY162" s="169">
        <f t="shared" si="91"/>
        <v>0</v>
      </c>
      <c r="DZ162" s="169">
        <f t="shared" si="91"/>
        <v>0</v>
      </c>
      <c r="EA162" s="169">
        <f t="shared" si="91"/>
        <v>0</v>
      </c>
      <c r="EB162" s="169">
        <f t="shared" si="91"/>
        <v>0</v>
      </c>
    </row>
    <row r="163" spans="1:132" x14ac:dyDescent="0.25">
      <c r="B163" s="14" t="s">
        <v>1315</v>
      </c>
      <c r="C163" s="258">
        <f>IF(Troupeau!$B$3="BL",CdTrp1!$AA$159,0)</f>
        <v>0</v>
      </c>
      <c r="D163" s="259">
        <f t="shared" si="50"/>
        <v>0</v>
      </c>
      <c r="AT163" s="40" t="s">
        <v>879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1316</v>
      </c>
      <c r="C164" s="258">
        <f>IF(Troupeau!$B$3="BL",ROUND(CdTrp1!$AA$147,0),0)</f>
        <v>0</v>
      </c>
      <c r="D164" s="259">
        <f t="shared" si="50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1317</v>
      </c>
      <c r="C165" s="258">
        <f>IF(Troupeau!$B$3="BV",CdTrp1!$AA$159,0)+IF(Troupeau!$C$3="BV",CdTrp2!$AA$159,0)</f>
        <v>0</v>
      </c>
      <c r="D165" s="259">
        <f t="shared" si="50"/>
        <v>0</v>
      </c>
      <c r="AT165" s="40" t="s">
        <v>882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1318</v>
      </c>
      <c r="C166" s="258">
        <f>IF(Troupeau!$B$3="BV",CdTrp1!$AA$147,0)+IF(Troupeau!$C$3="BV",CdTrp2!$AA$147,0)</f>
        <v>213.47051383720932</v>
      </c>
      <c r="D166" s="259">
        <f t="shared" si="50"/>
        <v>0</v>
      </c>
      <c r="AT166" s="147" t="s">
        <v>884</v>
      </c>
      <c r="AU166" s="17">
        <f>VLOOKUP(AU120,[1]Trav!$B$12:$C$31,2)</f>
        <v>3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884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884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1319</v>
      </c>
      <c r="C167" s="258">
        <f>IF(Troupeau!$D$3="EQ",CdTrp3!$AA$159,0)+IF(Troupeau!$C$3="EQ",CdTrp2!$AA$159,0)</f>
        <v>0</v>
      </c>
      <c r="D167" s="259">
        <f t="shared" si="50"/>
        <v>0</v>
      </c>
      <c r="AT167" s="183" t="str">
        <f t="shared" ref="AT167:AT176" si="95">AT121</f>
        <v>Vaches suitées au pâturage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96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97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1320</v>
      </c>
      <c r="C168" s="258">
        <f>IF(Troupeau!$D$3="EQ",CdTrp3!$AA$147,0)+IF(Troupeau!$C$3="EQ",CdTrp2!$AA$147,0)</f>
        <v>0</v>
      </c>
      <c r="D168" s="259">
        <f t="shared" si="50"/>
        <v>0</v>
      </c>
      <c r="AT168" s="183" t="str">
        <f t="shared" si="95"/>
        <v xml:space="preserve">Vaches lot principal 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96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97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1321</v>
      </c>
      <c r="C169" s="169">
        <f>SUM('Alim -Surf'!D24:H24)</f>
        <v>0</v>
      </c>
      <c r="D169" s="259">
        <f t="shared" si="50"/>
        <v>0</v>
      </c>
      <c r="AT169" s="183" t="str">
        <f t="shared" si="95"/>
        <v>Génisses renouvellement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96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97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1322</v>
      </c>
      <c r="C170" s="169">
        <f>SUM('Alim -Surf'!D25:H25)</f>
        <v>0</v>
      </c>
      <c r="D170" s="259">
        <f t="shared" si="50"/>
        <v>0</v>
      </c>
      <c r="AT170" s="183" t="str">
        <f t="shared" si="95"/>
        <v>génisses 2/3 ans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96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97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1323</v>
      </c>
      <c r="C171" s="169">
        <f>'Alim -Surf'!K24</f>
        <v>109.8545</v>
      </c>
      <c r="D171" s="259">
        <f t="shared" si="50"/>
        <v>0</v>
      </c>
      <c r="AT171" s="183" t="str">
        <f t="shared" si="95"/>
        <v>tardive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96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97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1324</v>
      </c>
      <c r="C172" s="169">
        <f>'Alim -Surf'!K25</f>
        <v>186.79999999999998</v>
      </c>
      <c r="D172" s="259">
        <f t="shared" si="50"/>
        <v>0</v>
      </c>
      <c r="AT172" s="183" t="str">
        <f t="shared" si="95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96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97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1325</v>
      </c>
      <c r="C173" s="169">
        <f>C169-C170</f>
        <v>0</v>
      </c>
      <c r="D173" s="259">
        <f t="shared" si="50"/>
        <v>0</v>
      </c>
      <c r="AT173" s="183" t="str">
        <f t="shared" si="95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96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97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1326</v>
      </c>
      <c r="C174" s="192" t="e">
        <f>ROUND((1 -(C173/C169))*100,1)</f>
        <v>#DIV/0!</v>
      </c>
      <c r="D174" s="259" t="e">
        <f t="shared" si="50"/>
        <v>#DIV/0!</v>
      </c>
      <c r="AT174" s="183" t="str">
        <f t="shared" si="95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96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97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1327</v>
      </c>
      <c r="C175" s="169">
        <f>C171-C172</f>
        <v>-76.945499999999981</v>
      </c>
      <c r="D175" s="259">
        <f>C175*$D$82/$C$82</f>
        <v>0</v>
      </c>
      <c r="AT175" s="183" t="str">
        <f t="shared" si="95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96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97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1328</v>
      </c>
      <c r="C176" s="169">
        <f>'Calcul éco'!B118</f>
        <v>76.945499999999981</v>
      </c>
      <c r="D176" s="259">
        <f>C176*$D$82/$C$82</f>
        <v>0</v>
      </c>
      <c r="AT176" s="183" t="str">
        <f t="shared" si="95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96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97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1329</v>
      </c>
      <c r="C177" s="169">
        <f>'Calcul éco'!C30</f>
        <v>0</v>
      </c>
      <c r="D177" s="259">
        <f>C177*$D$82/$C$82</f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1330</v>
      </c>
      <c r="C178" s="169">
        <f>ROUND((C170+C171)/(C170+C172),2)*100</f>
        <v>59</v>
      </c>
      <c r="D178" s="169" t="e">
        <f>ROUND((D170+D171)/(D170+D172),2)*100</f>
        <v>#DIV/0!</v>
      </c>
      <c r="AT178" s="40" t="s">
        <v>896</v>
      </c>
      <c r="AV178" s="169">
        <f>SUM(AV167:AV176)</f>
        <v>0</v>
      </c>
      <c r="AW178" s="169">
        <f t="shared" ref="AW178:BS178" si="98">SUM(AW167:AW176)</f>
        <v>0</v>
      </c>
      <c r="AX178" s="169">
        <f t="shared" si="98"/>
        <v>0</v>
      </c>
      <c r="AY178" s="169">
        <f t="shared" si="98"/>
        <v>0</v>
      </c>
      <c r="AZ178" s="169">
        <f t="shared" si="98"/>
        <v>0</v>
      </c>
      <c r="BA178" s="169">
        <f t="shared" si="98"/>
        <v>0</v>
      </c>
      <c r="BB178" s="169">
        <f t="shared" si="98"/>
        <v>0</v>
      </c>
      <c r="BC178" s="169">
        <f t="shared" si="98"/>
        <v>0</v>
      </c>
      <c r="BD178" s="169">
        <f t="shared" si="98"/>
        <v>0</v>
      </c>
      <c r="BE178" s="169">
        <f t="shared" si="98"/>
        <v>0</v>
      </c>
      <c r="BF178" s="169">
        <f t="shared" si="98"/>
        <v>0</v>
      </c>
      <c r="BG178" s="169">
        <f t="shared" si="98"/>
        <v>0</v>
      </c>
      <c r="BH178" s="169">
        <f t="shared" si="98"/>
        <v>0</v>
      </c>
      <c r="BI178" s="169">
        <f t="shared" si="98"/>
        <v>0</v>
      </c>
      <c r="BJ178" s="169">
        <f t="shared" si="98"/>
        <v>0</v>
      </c>
      <c r="BK178" s="169">
        <f t="shared" si="98"/>
        <v>0</v>
      </c>
      <c r="BL178" s="169">
        <f t="shared" si="98"/>
        <v>0</v>
      </c>
      <c r="BM178" s="169">
        <f t="shared" si="98"/>
        <v>0</v>
      </c>
      <c r="BN178" s="169">
        <f t="shared" si="98"/>
        <v>0</v>
      </c>
      <c r="BO178" s="169">
        <f t="shared" si="98"/>
        <v>0</v>
      </c>
      <c r="BP178" s="169">
        <f t="shared" si="98"/>
        <v>0</v>
      </c>
      <c r="BQ178" s="169">
        <f t="shared" si="98"/>
        <v>0</v>
      </c>
      <c r="BR178" s="169">
        <f t="shared" si="98"/>
        <v>0</v>
      </c>
      <c r="BS178" s="169">
        <f t="shared" si="98"/>
        <v>0</v>
      </c>
      <c r="CA178" s="40" t="s">
        <v>896</v>
      </c>
      <c r="CB178" s="169">
        <f>SUM(CB167:CB176)</f>
        <v>0</v>
      </c>
      <c r="CC178" s="169">
        <f t="shared" ref="CC178:CY178" si="99">SUM(CC167:CC176)</f>
        <v>0</v>
      </c>
      <c r="CD178" s="169">
        <f t="shared" si="99"/>
        <v>0</v>
      </c>
      <c r="CE178" s="169">
        <f t="shared" si="99"/>
        <v>0</v>
      </c>
      <c r="CF178" s="169">
        <f t="shared" si="99"/>
        <v>0</v>
      </c>
      <c r="CG178" s="169">
        <f t="shared" si="99"/>
        <v>0</v>
      </c>
      <c r="CH178" s="169">
        <f t="shared" si="99"/>
        <v>0</v>
      </c>
      <c r="CI178" s="169">
        <f t="shared" si="99"/>
        <v>0</v>
      </c>
      <c r="CJ178" s="169">
        <f t="shared" si="99"/>
        <v>0</v>
      </c>
      <c r="CK178" s="169">
        <f t="shared" si="99"/>
        <v>0</v>
      </c>
      <c r="CL178" s="169">
        <f t="shared" si="99"/>
        <v>0</v>
      </c>
      <c r="CM178" s="169">
        <f t="shared" si="99"/>
        <v>0</v>
      </c>
      <c r="CN178" s="169">
        <f t="shared" si="99"/>
        <v>0</v>
      </c>
      <c r="CO178" s="169">
        <f t="shared" si="99"/>
        <v>0</v>
      </c>
      <c r="CP178" s="169">
        <f t="shared" si="99"/>
        <v>0</v>
      </c>
      <c r="CQ178" s="169">
        <f t="shared" si="99"/>
        <v>0</v>
      </c>
      <c r="CR178" s="169">
        <f t="shared" si="99"/>
        <v>0</v>
      </c>
      <c r="CS178" s="169">
        <f t="shared" si="99"/>
        <v>0</v>
      </c>
      <c r="CT178" s="169">
        <f t="shared" si="99"/>
        <v>0</v>
      </c>
      <c r="CU178" s="169">
        <f t="shared" si="99"/>
        <v>0</v>
      </c>
      <c r="CV178" s="169">
        <f t="shared" si="99"/>
        <v>0</v>
      </c>
      <c r="CW178" s="169">
        <f t="shared" si="99"/>
        <v>0</v>
      </c>
      <c r="CX178" s="169">
        <f t="shared" si="99"/>
        <v>0</v>
      </c>
      <c r="CY178" s="169">
        <f t="shared" si="99"/>
        <v>0</v>
      </c>
      <c r="DD178" s="40" t="s">
        <v>896</v>
      </c>
      <c r="DE178" s="169">
        <f>SUM(DE167:DE176)</f>
        <v>0</v>
      </c>
      <c r="DF178" s="169">
        <f t="shared" ref="DF178:EB178" si="100">SUM(DF167:DF176)</f>
        <v>0</v>
      </c>
      <c r="DG178" s="169">
        <f t="shared" si="100"/>
        <v>0</v>
      </c>
      <c r="DH178" s="169">
        <f t="shared" si="100"/>
        <v>0</v>
      </c>
      <c r="DI178" s="169">
        <f t="shared" si="100"/>
        <v>0</v>
      </c>
      <c r="DJ178" s="169">
        <f t="shared" si="100"/>
        <v>0</v>
      </c>
      <c r="DK178" s="169">
        <f t="shared" si="100"/>
        <v>0</v>
      </c>
      <c r="DL178" s="169">
        <f t="shared" si="100"/>
        <v>0</v>
      </c>
      <c r="DM178" s="169">
        <f t="shared" si="100"/>
        <v>0</v>
      </c>
      <c r="DN178" s="169">
        <f t="shared" si="100"/>
        <v>0</v>
      </c>
      <c r="DO178" s="169">
        <f t="shared" si="100"/>
        <v>0</v>
      </c>
      <c r="DP178" s="169">
        <f t="shared" si="100"/>
        <v>0</v>
      </c>
      <c r="DQ178" s="169">
        <f t="shared" si="100"/>
        <v>0</v>
      </c>
      <c r="DR178" s="169">
        <f t="shared" si="100"/>
        <v>0</v>
      </c>
      <c r="DS178" s="169">
        <f t="shared" si="100"/>
        <v>0</v>
      </c>
      <c r="DT178" s="169">
        <f t="shared" si="100"/>
        <v>0</v>
      </c>
      <c r="DU178" s="169">
        <f t="shared" si="100"/>
        <v>0</v>
      </c>
      <c r="DV178" s="169">
        <f t="shared" si="100"/>
        <v>0</v>
      </c>
      <c r="DW178" s="169">
        <f t="shared" si="100"/>
        <v>0</v>
      </c>
      <c r="DX178" s="169">
        <f t="shared" si="100"/>
        <v>0</v>
      </c>
      <c r="DY178" s="169">
        <f t="shared" si="100"/>
        <v>0</v>
      </c>
      <c r="DZ178" s="169">
        <f t="shared" si="100"/>
        <v>0</v>
      </c>
      <c r="EA178" s="169">
        <f t="shared" si="100"/>
        <v>0</v>
      </c>
      <c r="EB178" s="169">
        <f t="shared" si="100"/>
        <v>0</v>
      </c>
    </row>
    <row r="179" spans="1:132" x14ac:dyDescent="0.25">
      <c r="B179" s="14" t="s">
        <v>1331</v>
      </c>
      <c r="C179" s="169">
        <f>SUM('Calcul éco'!D82:F106)</f>
        <v>19.899999999999999</v>
      </c>
      <c r="D179" s="259">
        <f>C179*$D$82/$C$82</f>
        <v>0</v>
      </c>
    </row>
    <row r="180" spans="1:132" x14ac:dyDescent="0.25">
      <c r="B180" s="14" t="s">
        <v>1332</v>
      </c>
      <c r="C180" s="169">
        <f>SUM('Calcul éco'!D19:D21)</f>
        <v>0</v>
      </c>
      <c r="D180" s="259">
        <f>C180*$D$82/$C$82</f>
        <v>0</v>
      </c>
    </row>
    <row r="181" spans="1:132" x14ac:dyDescent="0.25">
      <c r="B181" s="14" t="s">
        <v>1333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1334</v>
      </c>
      <c r="B182" s="14" t="s">
        <v>1335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1336</v>
      </c>
      <c r="C183" s="169">
        <f>Protection!AK25</f>
        <v>0</v>
      </c>
      <c r="D183" s="260">
        <f>ROUND(D184*D185,0)</f>
        <v>0</v>
      </c>
      <c r="E183" s="17" t="s">
        <v>1337</v>
      </c>
    </row>
    <row r="184" spans="1:132" x14ac:dyDescent="0.25">
      <c r="B184" s="14" t="s">
        <v>1338</v>
      </c>
      <c r="C184" s="169">
        <f>Protection!AK26</f>
        <v>0</v>
      </c>
      <c r="D184" s="261">
        <f>C184*D82/C82</f>
        <v>0</v>
      </c>
    </row>
    <row r="185" spans="1:132" x14ac:dyDescent="0.25">
      <c r="B185" s="14" t="s">
        <v>1339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1340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1341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1342</v>
      </c>
      <c r="C188" s="169">
        <f>'Calcul éco'!T236</f>
        <v>0</v>
      </c>
      <c r="D188" s="169">
        <f t="shared" ref="D188:D189" si="101">C188</f>
        <v>0</v>
      </c>
      <c r="AK188" s="40" t="s">
        <v>1147</v>
      </c>
    </row>
    <row r="189" spans="1:132" x14ac:dyDescent="0.25">
      <c r="B189" s="14" t="s">
        <v>1343</v>
      </c>
      <c r="C189" s="169">
        <f>'Calcul éco'!T245</f>
        <v>2</v>
      </c>
      <c r="D189" s="169">
        <f t="shared" si="101"/>
        <v>2</v>
      </c>
      <c r="AH189" s="15"/>
      <c r="AJ189" s="14" t="s">
        <v>1148</v>
      </c>
      <c r="AK189" s="30">
        <f>D189</f>
        <v>2</v>
      </c>
      <c r="AO189" s="169">
        <f>ROUND((([1]Protect!$B$5/[1]Protect!$B$11)+[1]Protect!$B$8)*AK189,0)</f>
        <v>1809</v>
      </c>
    </row>
    <row r="190" spans="1:132" x14ac:dyDescent="0.25">
      <c r="B190" s="14" t="s">
        <v>1344</v>
      </c>
      <c r="C190" s="169">
        <f>'Calcul éco'!T246*(30)</f>
        <v>0</v>
      </c>
      <c r="D190" s="169">
        <f>C190</f>
        <v>0</v>
      </c>
      <c r="AH190" s="15"/>
      <c r="AJ190" s="14" t="s">
        <v>1149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1345</v>
      </c>
      <c r="C191" s="192">
        <f>ROUND(SUM(Travail!F69:F74)/8,1)</f>
        <v>0</v>
      </c>
      <c r="D191" s="169">
        <f>C191</f>
        <v>0</v>
      </c>
      <c r="E191" s="17" t="s">
        <v>1346</v>
      </c>
      <c r="G191" t="s">
        <v>1347</v>
      </c>
      <c r="N191" t="s">
        <v>1348</v>
      </c>
      <c r="U191" t="s">
        <v>961</v>
      </c>
      <c r="AJ191" s="14" t="s">
        <v>1150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1349</v>
      </c>
      <c r="C192" s="169">
        <f>(Travail!F83+Travail!F84)/8</f>
        <v>0</v>
      </c>
      <c r="D192" s="262">
        <f>ROUND((D183/1000)*([1]Protect!$B$25*8/10+[1]Protect!$B$26),2)/8</f>
        <v>0</v>
      </c>
      <c r="E192" s="17" t="s">
        <v>1350</v>
      </c>
      <c r="I192" s="5"/>
      <c r="AN192" s="14" t="s">
        <v>1151</v>
      </c>
      <c r="AO192" s="169">
        <f>SUM(AO189:AO191)</f>
        <v>1809</v>
      </c>
    </row>
    <row r="193" spans="1:43" x14ac:dyDescent="0.25">
      <c r="B193" s="14" t="s">
        <v>1351</v>
      </c>
      <c r="C193" s="169">
        <f>(Travail!F75+Travail!F76+Travail!F81)/8</f>
        <v>1.125</v>
      </c>
      <c r="D193" s="169">
        <f>C193</f>
        <v>1.125</v>
      </c>
      <c r="I193" s="32" t="s">
        <v>1352</v>
      </c>
      <c r="J193" s="5">
        <f>D65</f>
        <v>0</v>
      </c>
      <c r="P193" s="32" t="s">
        <v>1353</v>
      </c>
      <c r="Q193" s="5">
        <f>D64</f>
        <v>0</v>
      </c>
      <c r="V193" s="32" t="s">
        <v>1354</v>
      </c>
      <c r="W193" s="5">
        <f>D63</f>
        <v>0</v>
      </c>
    </row>
    <row r="194" spans="1:43" x14ac:dyDescent="0.25">
      <c r="A194" s="2" t="s">
        <v>1355</v>
      </c>
      <c r="B194" s="14" t="s">
        <v>1356</v>
      </c>
      <c r="C194" s="169">
        <f>ROUND(SUM('Calcul éco'!J5:J30),0)</f>
        <v>29210</v>
      </c>
      <c r="D194" s="255">
        <f>ROUND(C194*D$82/C$82,0)</f>
        <v>0</v>
      </c>
      <c r="I194" s="32" t="s">
        <v>1357</v>
      </c>
      <c r="J194" s="5">
        <f>J193/IF(Scénario!K2="Exploit. Ind.",1,Scénario!K3)</f>
        <v>0</v>
      </c>
      <c r="P194" s="32" t="s">
        <v>1358</v>
      </c>
      <c r="Q194" s="5">
        <f>Q193/IF(Scénario!K2="Exploit. Ind.",1,Scénario!K3)</f>
        <v>0</v>
      </c>
      <c r="V194" s="32" t="s">
        <v>1359</v>
      </c>
      <c r="W194" s="5">
        <f>W193/IF(Scénario!K2="Exploit. Ind.",1,Scénario!K3)</f>
        <v>0</v>
      </c>
    </row>
    <row r="195" spans="1:43" x14ac:dyDescent="0.25">
      <c r="A195" s="2"/>
      <c r="B195" s="14" t="s">
        <v>1360</v>
      </c>
      <c r="C195" s="169">
        <f>ROUND(IF(Troupeau!B3="OL",'Calcul éco'!J5+'Calcul éco'!J6,0),0)</f>
        <v>0</v>
      </c>
      <c r="D195" s="255">
        <f t="shared" ref="D195:D200" si="102">ROUND(C195*D$82/C$82,0)</f>
        <v>0</v>
      </c>
    </row>
    <row r="196" spans="1:43" x14ac:dyDescent="0.25">
      <c r="A196" s="2"/>
      <c r="B196" s="14" t="s">
        <v>1361</v>
      </c>
      <c r="C196" s="169">
        <f>IF(Troupeau!B3="BL",'Calcul éco'!J5,0)</f>
        <v>0</v>
      </c>
      <c r="D196" s="255">
        <f t="shared" si="102"/>
        <v>0</v>
      </c>
    </row>
    <row r="197" spans="1:43" x14ac:dyDescent="0.25">
      <c r="A197" s="2"/>
      <c r="B197" s="14" t="s">
        <v>1362</v>
      </c>
      <c r="C197" s="169">
        <f>IF(Troupeau!B3="OL",SUM('Calcul éco'!K9:K15)-'Calcul éco'!K16,0)</f>
        <v>0</v>
      </c>
      <c r="D197" s="255">
        <f t="shared" si="102"/>
        <v>0</v>
      </c>
      <c r="H197" s="167" t="s">
        <v>969</v>
      </c>
      <c r="I197" s="167" t="s">
        <v>970</v>
      </c>
      <c r="J197" s="167" t="s">
        <v>719</v>
      </c>
      <c r="O197" s="167" t="s">
        <v>969</v>
      </c>
      <c r="P197" s="167" t="s">
        <v>973</v>
      </c>
      <c r="Q197" s="167" t="s">
        <v>719</v>
      </c>
      <c r="T197" s="5"/>
      <c r="U197" s="167" t="s">
        <v>969</v>
      </c>
      <c r="V197" s="167" t="s">
        <v>971</v>
      </c>
      <c r="W197" s="167" t="s">
        <v>719</v>
      </c>
    </row>
    <row r="198" spans="1:43" x14ac:dyDescent="0.25">
      <c r="A198" s="2"/>
      <c r="B198" s="14" t="s">
        <v>1363</v>
      </c>
      <c r="C198" s="169">
        <f>IF(Troupeau!B3="BL",SUM('Calcul éco'!K9:K15)-'Calcul éco'!K16,0)</f>
        <v>0</v>
      </c>
      <c r="D198" s="255">
        <f t="shared" si="102"/>
        <v>0</v>
      </c>
      <c r="G198" s="207" t="s">
        <v>975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977</v>
      </c>
      <c r="O198" s="184">
        <f>[1]Eco!$B$14</f>
        <v>77</v>
      </c>
      <c r="P198" s="169">
        <f>IF(Q194&gt;30,30,Q194)</f>
        <v>0</v>
      </c>
      <c r="Q198" s="169">
        <f>O198*P198</f>
        <v>0</v>
      </c>
      <c r="T198" s="5" t="s">
        <v>976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1155</v>
      </c>
      <c r="AJ198" s="4">
        <f>IF(Troupeau!B3="OL",L223,0)*Scénario!K56</f>
        <v>0</v>
      </c>
      <c r="AO198" s="40" t="s">
        <v>1156</v>
      </c>
      <c r="AP198">
        <f>IF(Troupeau!B3="OL",D63,0)</f>
        <v>0</v>
      </c>
    </row>
    <row r="199" spans="1:43" x14ac:dyDescent="0.25">
      <c r="A199" s="2"/>
      <c r="B199" s="14" t="s">
        <v>1364</v>
      </c>
      <c r="C199" s="169">
        <f>IF(Troupeau!B3="BV",SUM('Calcul éco'!K9:K15)-'Calcul éco'!K16,0)+IF(Troupeau!C3="BV",SUM('Calcul éco'!L9:L15)-'Calcul éco'!L16,0)</f>
        <v>29210</v>
      </c>
      <c r="D199" s="255">
        <f t="shared" si="102"/>
        <v>0</v>
      </c>
      <c r="G199" s="14" t="s">
        <v>978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03">H199*I199</f>
        <v>0</v>
      </c>
      <c r="N199" s="14" t="s">
        <v>981</v>
      </c>
      <c r="O199" s="184">
        <f>[1]Eco!$B$15</f>
        <v>38</v>
      </c>
      <c r="P199" s="169">
        <f>IF(Q194&gt;40,40,Q194)</f>
        <v>0</v>
      </c>
      <c r="Q199" s="169">
        <f>O199*P199</f>
        <v>0</v>
      </c>
      <c r="T199" s="5" t="s">
        <v>979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1157</v>
      </c>
      <c r="AQ199" t="s">
        <v>1157</v>
      </c>
    </row>
    <row r="200" spans="1:43" x14ac:dyDescent="0.25">
      <c r="A200" s="2"/>
      <c r="B200" s="14" t="s">
        <v>1365</v>
      </c>
      <c r="C200" s="169">
        <f>IF(Troupeau!D3="EQ",SUM('Calcul éco'!M9:M15)-'Calcul éco'!M16,0)+IF(Troupeau!C3="EQ",SUM('Calcul éco'!L9:L15)-'Calcul éco'!L16,0)</f>
        <v>0</v>
      </c>
      <c r="D200" s="255">
        <f t="shared" si="102"/>
        <v>0</v>
      </c>
      <c r="G200" s="14" t="s">
        <v>983</v>
      </c>
      <c r="H200" s="184">
        <f>[1]Eco!$F$6</f>
        <v>62</v>
      </c>
      <c r="I200" s="208">
        <f>IF(J194&gt;139,40,IF(J194&gt;99,J194-99,0))</f>
        <v>0</v>
      </c>
      <c r="J200" s="169">
        <f t="shared" si="103"/>
        <v>0</v>
      </c>
      <c r="P200" s="40" t="s">
        <v>980</v>
      </c>
      <c r="Q200" s="62">
        <f>IF(Scénario!K10=1,Q198,Q199)*IF(Scénario!K2="Exploit. Ind.",1,Scénario!K3)</f>
        <v>0</v>
      </c>
      <c r="V200" s="40" t="s">
        <v>980</v>
      </c>
      <c r="W200" s="62">
        <f>SUM(W198:W199)*IF(Scénario!K2="Exploit. Ind.",1,Scénario!K3)</f>
        <v>0</v>
      </c>
      <c r="AI200" s="14" t="s">
        <v>1158</v>
      </c>
      <c r="AJ200" s="30">
        <f>IF(AJ198&lt;151,1,0)</f>
        <v>1</v>
      </c>
      <c r="AK200" s="169">
        <f>IF(AJ200=0,0,[1]Protect!B76)</f>
        <v>7500</v>
      </c>
      <c r="AO200" s="14" t="s">
        <v>1159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989</v>
      </c>
      <c r="B201" s="14" t="s">
        <v>990</v>
      </c>
      <c r="C201" s="169">
        <f>'Calcul éco'!J34</f>
        <v>6640</v>
      </c>
      <c r="D201" s="260">
        <f>J201</f>
        <v>0</v>
      </c>
      <c r="E201" s="17" t="s">
        <v>1366</v>
      </c>
      <c r="I201" s="40" t="s">
        <v>980</v>
      </c>
      <c r="J201" s="62">
        <f>SUM(J198:J200)*IF(Scénario!K2="Exploit. Ind.",1,Scénario!K3)</f>
        <v>0</v>
      </c>
      <c r="AI201" s="14" t="s">
        <v>1160</v>
      </c>
      <c r="AJ201" s="30">
        <f>IF(AND(150 &lt;AJ$198,AJ$198&lt;451),1,0)</f>
        <v>0</v>
      </c>
      <c r="AK201" s="169">
        <f>IF(AJ201=0,0,[1]Protect!B77)</f>
        <v>0</v>
      </c>
      <c r="AO201" s="14" t="s">
        <v>1161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992</v>
      </c>
      <c r="C202" s="169">
        <f>+'Calcul éco'!J35</f>
        <v>0</v>
      </c>
      <c r="D202" s="260">
        <f>ROUND(Q200,0)</f>
        <v>0</v>
      </c>
      <c r="E202" s="17" t="s">
        <v>1366</v>
      </c>
      <c r="AI202" s="14" t="s">
        <v>1162</v>
      </c>
      <c r="AJ202" s="30">
        <f>IF(AND(540 &lt;AJ$198,AJ$198&lt;1201),1,0)</f>
        <v>0</v>
      </c>
      <c r="AK202" s="169">
        <f>IF(AJ202=0,0,[1]Protect!B78)</f>
        <v>0</v>
      </c>
      <c r="AO202" s="14" t="s">
        <v>1163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998</v>
      </c>
      <c r="C203" s="169">
        <f>'Calcul éco'!J37</f>
        <v>0</v>
      </c>
      <c r="D203" s="260">
        <f>ROUND(W200,0)</f>
        <v>0</v>
      </c>
      <c r="E203" s="17" t="s">
        <v>1366</v>
      </c>
      <c r="AI203" s="14" t="s">
        <v>1164</v>
      </c>
      <c r="AJ203" s="30">
        <f>IF(AND(1200&lt;AJ$198,AJ$198&lt;1501),1,0)</f>
        <v>0</v>
      </c>
      <c r="AK203" s="169">
        <f>IF(AJ203=0,0,[1]Protect!B79)</f>
        <v>0</v>
      </c>
      <c r="AO203" s="14" t="s">
        <v>1165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1008</v>
      </c>
      <c r="C204" s="169">
        <f>'Calcul éco'!J39</f>
        <v>0</v>
      </c>
      <c r="D204" s="255">
        <f>ROUND(C204*D$82/C$82,0)</f>
        <v>0</v>
      </c>
      <c r="I204" s="40" t="s">
        <v>999</v>
      </c>
      <c r="J204" t="s">
        <v>1000</v>
      </c>
      <c r="K204" t="s">
        <v>1001</v>
      </c>
      <c r="L204" t="s">
        <v>1002</v>
      </c>
      <c r="T204" s="2" t="s">
        <v>993</v>
      </c>
      <c r="U204" s="14"/>
      <c r="V204" s="36"/>
      <c r="AI204" s="14" t="s">
        <v>1166</v>
      </c>
      <c r="AJ204" s="30">
        <f>IF(1500&lt;AJ$198,1,0)</f>
        <v>0</v>
      </c>
      <c r="AK204" s="169">
        <f>IF(AJ204=0,0,[1]Protect!B80)</f>
        <v>0</v>
      </c>
      <c r="AO204" s="14" t="s">
        <v>1167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557</v>
      </c>
      <c r="C205" s="169">
        <f>'Calcul éco'!J40</f>
        <v>0</v>
      </c>
      <c r="D205" s="255">
        <f>ROUND(C205*D$82/C$82,0)</f>
        <v>0</v>
      </c>
      <c r="I205" s="14" t="s">
        <v>1367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997</v>
      </c>
      <c r="Y205" s="184">
        <f>'Calcul éco'!AC36</f>
        <v>235</v>
      </c>
      <c r="Z205" s="5"/>
    </row>
    <row r="206" spans="1:43" x14ac:dyDescent="0.25">
      <c r="A206" s="2" t="s">
        <v>1012</v>
      </c>
      <c r="B206" s="19" t="s">
        <v>1013</v>
      </c>
      <c r="C206" s="169">
        <f>ROUND('Calcul éco'!J42,0)</f>
        <v>2475</v>
      </c>
      <c r="D206" s="255">
        <f>ROUND(C206*D$82/C$82,0)</f>
        <v>0</v>
      </c>
      <c r="I206" s="14" t="s">
        <v>270</v>
      </c>
      <c r="J206" s="169">
        <f>D80</f>
        <v>0</v>
      </c>
      <c r="K206" s="169">
        <f>[1]Eco!$B$22/100</f>
        <v>0.6</v>
      </c>
      <c r="L206" s="169">
        <f t="shared" ref="L206" si="104">J206*K206</f>
        <v>0</v>
      </c>
      <c r="T206" s="168"/>
      <c r="X206" s="167" t="s">
        <v>1003</v>
      </c>
      <c r="Y206" s="167" t="s">
        <v>969</v>
      </c>
      <c r="Z206" s="167" t="s">
        <v>719</v>
      </c>
    </row>
    <row r="207" spans="1:43" x14ac:dyDescent="0.25">
      <c r="B207" s="205" t="s">
        <v>1017</v>
      </c>
      <c r="C207" s="169">
        <f>ROUND('Calcul éco'!J43,0)</f>
        <v>1250</v>
      </c>
      <c r="D207" s="260">
        <f>IF(L212&gt;52,52,L212)*IF(Scénario!K2="Exploit. Ind.",1,Scénario!K3)*'Calcul éco'!C43</f>
        <v>0</v>
      </c>
      <c r="E207" s="17" t="s">
        <v>1368</v>
      </c>
      <c r="W207" s="14" t="s">
        <v>1007</v>
      </c>
      <c r="X207" s="169">
        <f>IF(T208&gt;25, 25,T208)</f>
        <v>0</v>
      </c>
      <c r="Y207" s="169">
        <f>Y209+Y205</f>
        <v>305</v>
      </c>
      <c r="Z207" s="169">
        <f>X207*Y207</f>
        <v>0</v>
      </c>
      <c r="AF207" s="23" t="s">
        <v>1168</v>
      </c>
      <c r="AL207" s="169">
        <f>IF(Scénario!K84=2,AL209,IF(Scénario!K84=1,AL208,0))</f>
        <v>0</v>
      </c>
      <c r="AQ207" s="5"/>
    </row>
    <row r="208" spans="1:43" x14ac:dyDescent="0.25">
      <c r="B208" s="205" t="s">
        <v>1018</v>
      </c>
      <c r="C208" s="169">
        <f>ROUND('Calcul éco'!J44,0)</f>
        <v>1710</v>
      </c>
      <c r="D208" s="255">
        <f>ROUND(C208*D$82/C$82,0)</f>
        <v>0</v>
      </c>
      <c r="S208" s="14" t="s">
        <v>1009</v>
      </c>
      <c r="T208" s="30">
        <f>L212</f>
        <v>0</v>
      </c>
      <c r="W208" s="14" t="s">
        <v>1010</v>
      </c>
      <c r="X208" s="169">
        <f>IF(T208&gt;50,25,IF(T208&gt;25,T208-25,0))</f>
        <v>0</v>
      </c>
      <c r="Y208" s="169">
        <f>Y209+0.66*Y205</f>
        <v>225.1</v>
      </c>
      <c r="Z208" s="169">
        <f t="shared" ref="Z208:Z209" si="105">X208*Y208</f>
        <v>0</v>
      </c>
      <c r="AF208" s="5"/>
      <c r="AK208" s="14" t="s">
        <v>1169</v>
      </c>
      <c r="AL208" s="169">
        <f>IF(AO192&lt;SUM(AK200:AK204),AO192,SUM(AK200:AK204))</f>
        <v>1809</v>
      </c>
      <c r="AQ208" s="238"/>
    </row>
    <row r="209" spans="1:43" x14ac:dyDescent="0.25">
      <c r="B209" s="19" t="s">
        <v>1020</v>
      </c>
      <c r="C209" s="169">
        <f>ROUND('Calcul éco'!J45,0)</f>
        <v>6968</v>
      </c>
      <c r="D209" s="260">
        <f>IF(Scénario!K9=0,0,ROUND(Z210,0))</f>
        <v>0</v>
      </c>
      <c r="E209" s="17" t="s">
        <v>1369</v>
      </c>
      <c r="K209" s="40" t="s">
        <v>1019</v>
      </c>
      <c r="L209" s="62">
        <f>SUM(L205:L206)</f>
        <v>0</v>
      </c>
      <c r="W209" s="14" t="s">
        <v>1011</v>
      </c>
      <c r="X209" s="169">
        <f>IF(T208&gt;75,25,IF(T208&gt;50,T208-50,0))</f>
        <v>0</v>
      </c>
      <c r="Y209" s="184">
        <f>[1]Eco!$B$34</f>
        <v>70</v>
      </c>
      <c r="Z209" s="169">
        <f t="shared" si="105"/>
        <v>0</v>
      </c>
      <c r="AF209" s="5"/>
      <c r="AK209" s="14" t="s">
        <v>1170</v>
      </c>
      <c r="AL209" s="169">
        <f>IF(AO192&lt;SUM(AQ200:AQ204),AO192,SUM(AQ200:AQ204))</f>
        <v>1809</v>
      </c>
      <c r="AP209" s="238"/>
      <c r="AQ209" s="238"/>
    </row>
    <row r="210" spans="1:43" x14ac:dyDescent="0.25">
      <c r="B210" s="19" t="s">
        <v>1370</v>
      </c>
      <c r="C210" s="169">
        <f>ROUND('Calcul éco'!J46,0)</f>
        <v>0</v>
      </c>
      <c r="D210" s="260">
        <f>ROUND(AL207,0)</f>
        <v>0</v>
      </c>
      <c r="E210" s="17" t="s">
        <v>1371</v>
      </c>
      <c r="K210" s="14" t="s">
        <v>1021</v>
      </c>
      <c r="L210" s="169">
        <f>J221</f>
        <v>0</v>
      </c>
      <c r="Y210" s="40" t="s">
        <v>980</v>
      </c>
      <c r="Z210" s="62">
        <f>SUM(Z207:Z209)*IF(Scénario!K2="Exploit. Ind.",1,Scénario!K3)</f>
        <v>0</v>
      </c>
      <c r="AF210" s="5"/>
      <c r="AP210" s="238"/>
      <c r="AQ210" s="239"/>
    </row>
    <row r="211" spans="1:43" x14ac:dyDescent="0.25">
      <c r="B211" s="14" t="s">
        <v>1372</v>
      </c>
      <c r="C211" s="169">
        <f>SUM(C201:C210)</f>
        <v>19043</v>
      </c>
      <c r="D211" s="260">
        <f>ROUND(SUM(D201:D210),0)</f>
        <v>0</v>
      </c>
      <c r="E211" s="17" t="s">
        <v>1373</v>
      </c>
      <c r="K211" s="40" t="s">
        <v>1026</v>
      </c>
      <c r="L211" s="62">
        <f>L209+L210</f>
        <v>0</v>
      </c>
      <c r="AF211" s="5"/>
      <c r="AP211" s="238"/>
      <c r="AQ211" s="239"/>
    </row>
    <row r="212" spans="1:43" x14ac:dyDescent="0.25">
      <c r="A212" s="2" t="s">
        <v>1374</v>
      </c>
      <c r="B212" s="14" t="s">
        <v>1375</v>
      </c>
      <c r="C212" s="169">
        <f>IF(Troupeau!B3="OL",'Calcul éco'!K116,0)</f>
        <v>0</v>
      </c>
      <c r="D212" s="255">
        <f>ROUND(C212*D$82/C$82,0)</f>
        <v>0</v>
      </c>
      <c r="K212" s="40" t="s">
        <v>1376</v>
      </c>
      <c r="L212" s="62">
        <f>L211/IF(Scénario!K2="Exploit. Ind.",1,Scénario!K3)</f>
        <v>0</v>
      </c>
      <c r="AF212" s="5"/>
      <c r="AG212" s="240"/>
      <c r="AH212" s="241"/>
      <c r="AI212" s="241"/>
      <c r="AJ212" s="242"/>
      <c r="AK212" s="242"/>
      <c r="AL212" s="242"/>
      <c r="AM212" s="243"/>
      <c r="AN212" s="243"/>
      <c r="AO212" s="238"/>
      <c r="AP212" s="239"/>
      <c r="AQ212" s="238"/>
    </row>
    <row r="213" spans="1:43" x14ac:dyDescent="0.25">
      <c r="B213" s="14" t="s">
        <v>1377</v>
      </c>
      <c r="C213" s="169">
        <f>IF(Troupeau!B3="BL",'Calcul éco'!K116,0)</f>
        <v>0</v>
      </c>
      <c r="D213" s="255">
        <f t="shared" ref="D213:D219" si="106">ROUND(C213*D$82/C$82,0)</f>
        <v>0</v>
      </c>
      <c r="E213" s="14"/>
      <c r="AF213" s="5"/>
      <c r="AG213" s="2" t="s">
        <v>1171</v>
      </c>
      <c r="AP213" s="239"/>
      <c r="AQ213" s="238"/>
    </row>
    <row r="214" spans="1:43" x14ac:dyDescent="0.25">
      <c r="B214" s="14" t="s">
        <v>1378</v>
      </c>
      <c r="C214" s="169">
        <f>IF(Troupeau!B3="BV",'Calcul éco'!K116,0)+IF(Troupeau!C3="BV",'Calcul éco'!L116,0)</f>
        <v>13120</v>
      </c>
      <c r="D214" s="255">
        <f t="shared" si="106"/>
        <v>0</v>
      </c>
      <c r="H214" s="2" t="s">
        <v>1029</v>
      </c>
      <c r="AF214" s="5"/>
      <c r="AJ214" s="33" t="s">
        <v>1172</v>
      </c>
      <c r="AK214" s="33"/>
      <c r="AL214" s="33"/>
      <c r="AM214" s="33" t="s">
        <v>1173</v>
      </c>
      <c r="AN214" s="33" t="s">
        <v>1036</v>
      </c>
      <c r="AP214" s="239"/>
      <c r="AQ214" s="238"/>
    </row>
    <row r="215" spans="1:43" x14ac:dyDescent="0.25">
      <c r="B215" s="14" t="s">
        <v>1379</v>
      </c>
      <c r="C215" s="169">
        <f>IF(Troupeau!D3="EQ",'Calcul éco'!M116,0)+IF(Troupeau!D3="EQ",'Calcul éco'!L116,0)</f>
        <v>0</v>
      </c>
      <c r="D215" s="255">
        <f t="shared" si="106"/>
        <v>0</v>
      </c>
      <c r="I215" t="s">
        <v>1380</v>
      </c>
      <c r="J215" t="s">
        <v>1381</v>
      </c>
      <c r="AF215" s="5"/>
      <c r="AI215" s="14" t="s">
        <v>1174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8"/>
      <c r="AQ215" s="238"/>
    </row>
    <row r="216" spans="1:43" x14ac:dyDescent="0.25">
      <c r="B216" s="14" t="s">
        <v>1382</v>
      </c>
      <c r="C216" s="169">
        <f>ROUND(SUM(C212:C215),0)</f>
        <v>13120</v>
      </c>
      <c r="D216" s="255">
        <f t="shared" si="106"/>
        <v>0</v>
      </c>
      <c r="G216" s="14" t="s">
        <v>567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1175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8"/>
      <c r="AQ216" s="238"/>
    </row>
    <row r="217" spans="1:43" x14ac:dyDescent="0.25">
      <c r="B217" s="14" t="s">
        <v>1383</v>
      </c>
      <c r="C217" s="169">
        <f>SUM('Calcul éco'!J122:J138)</f>
        <v>2843.5699999999997</v>
      </c>
      <c r="D217" s="255">
        <f t="shared" si="106"/>
        <v>0</v>
      </c>
      <c r="G217" s="19" t="s">
        <v>581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1176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8"/>
      <c r="AQ217" s="238"/>
    </row>
    <row r="218" spans="1:43" x14ac:dyDescent="0.25">
      <c r="B218" s="14" t="s">
        <v>1384</v>
      </c>
      <c r="C218" s="169">
        <f>SUM('Calcul éco'!J118:J119)</f>
        <v>16616.224999999999</v>
      </c>
      <c r="D218" s="255">
        <f t="shared" si="106"/>
        <v>0</v>
      </c>
      <c r="G218" s="14" t="s">
        <v>588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7"/>
      <c r="AI218" s="14" t="s">
        <v>1136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8"/>
      <c r="AP218" s="238"/>
      <c r="AQ218" s="238"/>
    </row>
    <row r="219" spans="1:43" x14ac:dyDescent="0.25">
      <c r="B219" s="14" t="s">
        <v>1385</v>
      </c>
      <c r="C219" s="169">
        <f>'Calcul éco'!J141</f>
        <v>1809</v>
      </c>
      <c r="D219" s="255">
        <f t="shared" si="106"/>
        <v>0</v>
      </c>
      <c r="K219" s="4"/>
      <c r="AF219" s="5"/>
      <c r="AG219" s="240"/>
      <c r="AI219" s="14" t="s">
        <v>1137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8"/>
      <c r="AP219" s="32"/>
      <c r="AQ219" s="238"/>
    </row>
    <row r="220" spans="1:43" x14ac:dyDescent="0.25">
      <c r="B220" s="14" t="s">
        <v>1386</v>
      </c>
      <c r="C220" s="169">
        <f>'Calcul éco'!J142</f>
        <v>0</v>
      </c>
      <c r="D220" s="260">
        <f>SUM(AN215:AN219)</f>
        <v>0</v>
      </c>
      <c r="E220" s="17" t="s">
        <v>1387</v>
      </c>
      <c r="H220" s="14" t="s">
        <v>1031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1388</v>
      </c>
      <c r="C221" s="169">
        <f>ROUND(SUM(C216:C220),0)</f>
        <v>34389</v>
      </c>
      <c r="D221" s="260">
        <f>ROUND(SUM(D216:D220),0)</f>
        <v>0</v>
      </c>
      <c r="E221" s="17" t="s">
        <v>1387</v>
      </c>
      <c r="H221" s="14" t="s">
        <v>1032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1099</v>
      </c>
      <c r="B222" s="14" t="s">
        <v>1389</v>
      </c>
      <c r="C222" s="169">
        <f>'Calcul éco'!J149</f>
        <v>2107.9</v>
      </c>
      <c r="D222" s="255">
        <f>ROUND(C222*D$82/C$82,0)</f>
        <v>0</v>
      </c>
      <c r="K222" t="s">
        <v>1380</v>
      </c>
      <c r="L222" t="s">
        <v>1390</v>
      </c>
    </row>
    <row r="223" spans="1:43" x14ac:dyDescent="0.25">
      <c r="B223" s="14" t="s">
        <v>1101</v>
      </c>
      <c r="C223" s="169">
        <f>'Calcul éco'!J150</f>
        <v>1085</v>
      </c>
      <c r="D223" s="169">
        <f>C223</f>
        <v>1085</v>
      </c>
      <c r="J223" s="14" t="s">
        <v>1391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1129</v>
      </c>
      <c r="AM223" t="s">
        <v>1130</v>
      </c>
      <c r="AN223" t="s">
        <v>1131</v>
      </c>
      <c r="AO223" t="s">
        <v>1132</v>
      </c>
    </row>
    <row r="224" spans="1:43" x14ac:dyDescent="0.25">
      <c r="B224" s="14" t="s">
        <v>1102</v>
      </c>
      <c r="C224" s="169">
        <f>'Calcul éco'!J151</f>
        <v>2880</v>
      </c>
      <c r="D224" s="169">
        <f>C224</f>
        <v>2880</v>
      </c>
      <c r="G224" s="14"/>
      <c r="H224" s="14"/>
      <c r="J224" s="14" t="s">
        <v>1392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1133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1104</v>
      </c>
      <c r="C225" s="169">
        <f>'Calcul éco'!J152</f>
        <v>0</v>
      </c>
      <c r="D225" s="169">
        <f>C225</f>
        <v>0</v>
      </c>
      <c r="G225" s="19"/>
      <c r="H225" s="19"/>
      <c r="J225" s="14" t="s">
        <v>1393</v>
      </c>
      <c r="K225" s="30">
        <f>Scénario!K66</f>
        <v>0</v>
      </c>
      <c r="L225" s="30">
        <f>K225*'Synthèse résultats'!D$82/'Synthèse résultats'!C$82</f>
        <v>0</v>
      </c>
      <c r="AJ225" s="14" t="s">
        <v>1134</v>
      </c>
      <c r="AK225" s="30">
        <f>D183</f>
        <v>0</v>
      </c>
      <c r="AL225" t="s">
        <v>1135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1106</v>
      </c>
      <c r="C226" s="169">
        <f>'Calcul éco'!J153</f>
        <v>11000</v>
      </c>
      <c r="D226" s="255">
        <f>ROUND(C226*D$82/C$82,0)</f>
        <v>0</v>
      </c>
      <c r="G226" s="14"/>
      <c r="H226" s="14"/>
      <c r="AJ226" s="14" t="s">
        <v>1136</v>
      </c>
      <c r="AK226" s="30">
        <f>D187</f>
        <v>0</v>
      </c>
      <c r="AN226" s="169">
        <f>[1]Protect!$B$83</f>
        <v>2000</v>
      </c>
      <c r="AO226" s="169">
        <f t="shared" ref="AO226:AO227" si="108">AK226*AN226</f>
        <v>0</v>
      </c>
    </row>
    <row r="227" spans="1:49" x14ac:dyDescent="0.25">
      <c r="B227" s="14" t="s">
        <v>1108</v>
      </c>
      <c r="C227" s="169">
        <f>'Calcul éco'!J154</f>
        <v>6047.9</v>
      </c>
      <c r="D227" s="255">
        <f t="shared" ref="D227:D233" si="109">ROUND(C227*D$82/C$82,0)</f>
        <v>0</v>
      </c>
      <c r="AJ227" s="14" t="s">
        <v>1137</v>
      </c>
      <c r="AK227" s="30">
        <f>D188</f>
        <v>0</v>
      </c>
      <c r="AN227" s="169">
        <f>[1]Protect!$B$84</f>
        <v>5000</v>
      </c>
      <c r="AO227" s="169">
        <f t="shared" si="108"/>
        <v>0</v>
      </c>
      <c r="AQ227" t="s">
        <v>1138</v>
      </c>
      <c r="AR227" t="s">
        <v>1139</v>
      </c>
      <c r="AS227" t="s">
        <v>1140</v>
      </c>
      <c r="AT227" t="s">
        <v>1141</v>
      </c>
      <c r="AU227" t="s">
        <v>1142</v>
      </c>
      <c r="AV227" t="s">
        <v>1143</v>
      </c>
      <c r="AW227" t="s">
        <v>1144</v>
      </c>
    </row>
    <row r="228" spans="1:49" x14ac:dyDescent="0.25">
      <c r="B228" s="14" t="s">
        <v>1110</v>
      </c>
      <c r="C228" s="169"/>
      <c r="D228" s="255">
        <f t="shared" si="109"/>
        <v>0</v>
      </c>
      <c r="AN228" s="14" t="s">
        <v>1145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7">
        <f>[1]Protect!$B$19</f>
        <v>0.04</v>
      </c>
      <c r="AV228" s="209">
        <f>[1]Protect!$B$20</f>
        <v>10</v>
      </c>
      <c r="AW228" s="234">
        <f>PPMT(AU228,1,AV228,-AT228)+IPMT(AU228,1,AV228,-AT228)</f>
        <v>0</v>
      </c>
    </row>
    <row r="229" spans="1:49" x14ac:dyDescent="0.25">
      <c r="B229" s="14" t="s">
        <v>1113</v>
      </c>
      <c r="C229" s="169">
        <f>'Calcul éco'!J157</f>
        <v>0</v>
      </c>
      <c r="D229" s="255">
        <f t="shared" si="109"/>
        <v>0</v>
      </c>
    </row>
    <row r="230" spans="1:49" x14ac:dyDescent="0.25">
      <c r="B230" s="14" t="s">
        <v>1114</v>
      </c>
      <c r="C230" s="169">
        <f>'Calcul éco'!J158</f>
        <v>57.920000000000059</v>
      </c>
      <c r="D230" s="255">
        <f t="shared" si="109"/>
        <v>0</v>
      </c>
    </row>
    <row r="231" spans="1:49" x14ac:dyDescent="0.25">
      <c r="B231" s="14" t="s">
        <v>1115</v>
      </c>
      <c r="C231" s="169">
        <f>'Calcul éco'!J159</f>
        <v>90.000000000000057</v>
      </c>
      <c r="D231" s="255">
        <f t="shared" si="109"/>
        <v>0</v>
      </c>
      <c r="AJ231" s="14" t="s">
        <v>1146</v>
      </c>
      <c r="AK231" s="30">
        <f>D186</f>
        <v>0</v>
      </c>
      <c r="AL231" t="s">
        <v>1135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7">
        <f>[1]Protect!$B$19</f>
        <v>0.04</v>
      </c>
      <c r="AV231" s="209">
        <f>[1]Protect!$B$20</f>
        <v>10</v>
      </c>
      <c r="AW231" s="234">
        <f t="shared" ref="AW231" si="111">PPMT(AU231,1,AV231,-AT231)+IPMT(AU231,1,AV231,-AT231)</f>
        <v>0</v>
      </c>
    </row>
    <row r="232" spans="1:49" x14ac:dyDescent="0.25">
      <c r="B232" s="14" t="s">
        <v>1116</v>
      </c>
      <c r="C232" s="169">
        <f>'Calcul éco'!J160</f>
        <v>60</v>
      </c>
      <c r="D232" s="255">
        <f t="shared" si="109"/>
        <v>0</v>
      </c>
    </row>
    <row r="233" spans="1:49" x14ac:dyDescent="0.25">
      <c r="B233" s="14" t="s">
        <v>1117</v>
      </c>
      <c r="C233" s="169">
        <f>'Calcul éco'!J161</f>
        <v>62.160000000000061</v>
      </c>
      <c r="D233" s="255">
        <f t="shared" si="109"/>
        <v>0</v>
      </c>
    </row>
    <row r="234" spans="1:49" x14ac:dyDescent="0.25">
      <c r="B234" s="14" t="s">
        <v>1394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1395</v>
      </c>
      <c r="C235" s="169">
        <f>'Calcul éco'!J167</f>
        <v>0</v>
      </c>
      <c r="D235" s="260">
        <f>(D191+D192)*8*[1]Eco!$B$106</f>
        <v>0</v>
      </c>
      <c r="E235" s="17" t="s">
        <v>1387</v>
      </c>
    </row>
    <row r="236" spans="1:49" x14ac:dyDescent="0.25">
      <c r="B236" s="14" t="s">
        <v>1396</v>
      </c>
      <c r="C236" s="169">
        <f>ROUND(SUM(C222:C235),0)</f>
        <v>23391</v>
      </c>
      <c r="D236" s="260">
        <f>ROUND(SUM(D222:D235),0)</f>
        <v>3965</v>
      </c>
      <c r="E236" s="17" t="s">
        <v>1397</v>
      </c>
    </row>
    <row r="237" spans="1:49" x14ac:dyDescent="0.25">
      <c r="A237" s="2" t="s">
        <v>1398</v>
      </c>
      <c r="B237" s="205" t="s">
        <v>1123</v>
      </c>
      <c r="C237" s="169">
        <f>C194+C211-C221-C236</f>
        <v>-9527</v>
      </c>
      <c r="D237" s="260">
        <f>D194+D211-D221-D236</f>
        <v>-3965</v>
      </c>
    </row>
    <row r="238" spans="1:49" x14ac:dyDescent="0.25">
      <c r="B238" s="205" t="s">
        <v>1124</v>
      </c>
      <c r="C238" s="169">
        <f>ROUND(C237/Scénario!$K$4,0)</f>
        <v>-9527</v>
      </c>
      <c r="D238" s="260" t="e">
        <f>ROUND(D237/D83,0)</f>
        <v>#DIV/0!</v>
      </c>
    </row>
    <row r="239" spans="1:49" x14ac:dyDescent="0.25">
      <c r="B239" s="205" t="s">
        <v>1125</v>
      </c>
      <c r="C239" s="169">
        <f>'Calcul éco'!B177</f>
        <v>4750</v>
      </c>
      <c r="D239" s="260">
        <f>C239</f>
        <v>4750</v>
      </c>
    </row>
    <row r="240" spans="1:49" x14ac:dyDescent="0.25">
      <c r="B240" s="205" t="s">
        <v>1126</v>
      </c>
      <c r="C240" s="263">
        <f>'Calcul éco'!B178</f>
        <v>0</v>
      </c>
      <c r="D240" s="264">
        <f>AW228+AW231</f>
        <v>0</v>
      </c>
      <c r="E240" s="17" t="s">
        <v>1387</v>
      </c>
    </row>
    <row r="241" spans="1:15" x14ac:dyDescent="0.25">
      <c r="B241" s="205" t="s">
        <v>1127</v>
      </c>
      <c r="C241" s="265">
        <f>ROUND(C237-C239-C240,0)</f>
        <v>-14277</v>
      </c>
      <c r="D241" s="264">
        <f>ROUND(D237-D239-D240,0)</f>
        <v>-8715</v>
      </c>
    </row>
    <row r="242" spans="1:15" x14ac:dyDescent="0.25">
      <c r="B242" s="205" t="s">
        <v>1128</v>
      </c>
      <c r="C242" s="169">
        <f>ROUND(C241/Scénario!K4,0)</f>
        <v>-14277</v>
      </c>
      <c r="D242" s="260" t="e">
        <f>ROUND(D241/D83,0)</f>
        <v>#DIV/0!</v>
      </c>
    </row>
    <row r="243" spans="1:15" x14ac:dyDescent="0.25">
      <c r="B243" s="205" t="s">
        <v>1399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1400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1401</v>
      </c>
      <c r="B245" s="14" t="s">
        <v>567</v>
      </c>
      <c r="C245" s="266">
        <f>Travail!F5</f>
        <v>0</v>
      </c>
      <c r="D245" s="169">
        <f>C245</f>
        <v>0</v>
      </c>
    </row>
    <row r="246" spans="1:15" x14ac:dyDescent="0.25">
      <c r="B246" s="14" t="s">
        <v>581</v>
      </c>
      <c r="C246" s="266">
        <f>Travail!F6</f>
        <v>0</v>
      </c>
      <c r="D246" s="169">
        <f t="shared" ref="D246:D247" si="112">C246</f>
        <v>0</v>
      </c>
    </row>
    <row r="247" spans="1:15" x14ac:dyDescent="0.25">
      <c r="B247" s="14" t="s">
        <v>588</v>
      </c>
      <c r="C247" s="266">
        <f>Travail!F7</f>
        <v>0</v>
      </c>
      <c r="D247" s="169">
        <f t="shared" si="112"/>
        <v>0</v>
      </c>
    </row>
    <row r="248" spans="1:15" x14ac:dyDescent="0.25">
      <c r="A248" s="43" t="s">
        <v>779</v>
      </c>
      <c r="B248" s="14" t="s">
        <v>567</v>
      </c>
      <c r="C248" s="266">
        <f>Travail!F9</f>
        <v>1265.7237209302327</v>
      </c>
      <c r="D248" s="260">
        <f>ROUND(SUM(AV163:BS163),1)</f>
        <v>0</v>
      </c>
    </row>
    <row r="249" spans="1:15" x14ac:dyDescent="0.25">
      <c r="B249" s="14" t="s">
        <v>581</v>
      </c>
      <c r="C249" s="266">
        <f>Travail!F10</f>
        <v>0</v>
      </c>
      <c r="D249" s="260">
        <f>SUM(CB163:CY163)</f>
        <v>0</v>
      </c>
    </row>
    <row r="250" spans="1:15" x14ac:dyDescent="0.25">
      <c r="B250" s="14" t="s">
        <v>588</v>
      </c>
      <c r="C250" s="266">
        <f>Travail!F11</f>
        <v>0</v>
      </c>
      <c r="D250" s="260">
        <f>SUM(DE163:EB163)</f>
        <v>0</v>
      </c>
    </row>
    <row r="251" spans="1:15" x14ac:dyDescent="0.25">
      <c r="A251" s="43" t="s">
        <v>782</v>
      </c>
      <c r="B251" s="14" t="s">
        <v>567</v>
      </c>
      <c r="C251" s="266">
        <f>Travail!F16</f>
        <v>0</v>
      </c>
      <c r="D251" s="169">
        <f>C251</f>
        <v>0</v>
      </c>
      <c r="J251" s="40" t="s">
        <v>807</v>
      </c>
      <c r="M251" s="5"/>
      <c r="N251" s="5"/>
      <c r="O251" s="167"/>
    </row>
    <row r="252" spans="1:15" x14ac:dyDescent="0.25">
      <c r="A252" s="43"/>
      <c r="B252" s="14" t="s">
        <v>581</v>
      </c>
      <c r="C252" s="266">
        <f>Travail!F17</f>
        <v>0</v>
      </c>
      <c r="D252" s="169">
        <f t="shared" ref="D252:D253" si="113">C252</f>
        <v>0</v>
      </c>
      <c r="J252" s="37" t="s">
        <v>808</v>
      </c>
      <c r="K252" s="167" t="s">
        <v>51</v>
      </c>
      <c r="L252" t="s">
        <v>809</v>
      </c>
      <c r="M252" s="5"/>
      <c r="N252" s="5"/>
      <c r="O252" s="167"/>
    </row>
    <row r="253" spans="1:15" x14ac:dyDescent="0.25">
      <c r="A253" s="43"/>
      <c r="B253" s="14" t="s">
        <v>588</v>
      </c>
      <c r="C253" s="266">
        <f>Travail!F18</f>
        <v>0</v>
      </c>
      <c r="D253" s="169">
        <f t="shared" si="113"/>
        <v>0</v>
      </c>
      <c r="J253" s="14" t="s">
        <v>811</v>
      </c>
      <c r="K253" s="169">
        <f>C91+C92</f>
        <v>0</v>
      </c>
      <c r="L253" s="184">
        <f>IF(K253&gt;[1]Trav!$E$116,[1]Trav!C116,[1]Trav!B116)</f>
        <v>11</v>
      </c>
      <c r="M253" s="5"/>
      <c r="N253" s="168"/>
      <c r="O253">
        <f>K253*L253</f>
        <v>0</v>
      </c>
    </row>
    <row r="254" spans="1:15" x14ac:dyDescent="0.25">
      <c r="A254" s="43" t="s">
        <v>789</v>
      </c>
      <c r="B254" s="14" t="s">
        <v>567</v>
      </c>
      <c r="C254" s="266">
        <f>Travail!F20</f>
        <v>0</v>
      </c>
      <c r="D254" s="169">
        <f>Travail!G20</f>
        <v>0</v>
      </c>
      <c r="J254" s="14" t="s">
        <v>813</v>
      </c>
      <c r="K254" s="169">
        <f>D90</f>
        <v>0</v>
      </c>
      <c r="L254" s="184">
        <f>IF(K254&gt;[1]Trav!E117,[1]Trav!C117,[1]Trav!B117)</f>
        <v>15.7</v>
      </c>
      <c r="M254" s="5"/>
      <c r="N254" s="168"/>
      <c r="O254">
        <f t="shared" ref="O254:O262" si="114">K254*L254</f>
        <v>0</v>
      </c>
    </row>
    <row r="255" spans="1:15" x14ac:dyDescent="0.25">
      <c r="A255" s="43"/>
      <c r="B255" s="14" t="s">
        <v>581</v>
      </c>
      <c r="C255" s="266">
        <f>Travail!F21</f>
        <v>0</v>
      </c>
      <c r="D255" s="169">
        <f>Travail!G21</f>
        <v>0</v>
      </c>
      <c r="J255" s="32" t="s">
        <v>815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14"/>
        <v>0</v>
      </c>
    </row>
    <row r="256" spans="1:15" x14ac:dyDescent="0.25">
      <c r="B256" s="14" t="s">
        <v>588</v>
      </c>
      <c r="C256" s="266">
        <f>Travail!F22</f>
        <v>0</v>
      </c>
      <c r="D256" s="169">
        <f>Travail!G22</f>
        <v>0</v>
      </c>
      <c r="J256" s="32" t="s">
        <v>816</v>
      </c>
      <c r="K256" s="169">
        <f>D72</f>
        <v>0</v>
      </c>
      <c r="L256" s="184">
        <f>IF(K256&gt;[1]Trav!E118,[1]Trav!C118,[1]Trav!B118)</f>
        <v>3.7</v>
      </c>
      <c r="N256" s="168"/>
      <c r="O256">
        <f t="shared" si="114"/>
        <v>0</v>
      </c>
    </row>
    <row r="257" spans="1:15" x14ac:dyDescent="0.25">
      <c r="A257" s="2" t="s">
        <v>792</v>
      </c>
      <c r="B257" s="14" t="s">
        <v>567</v>
      </c>
      <c r="C257" s="266">
        <f>Travail!F31</f>
        <v>204</v>
      </c>
      <c r="D257" s="255">
        <f>ROUND(C257*D$82/C$82,0)</f>
        <v>0</v>
      </c>
      <c r="E257" s="17" t="s">
        <v>1402</v>
      </c>
      <c r="J257" s="32" t="s">
        <v>817</v>
      </c>
      <c r="K257" s="169">
        <f>D72+D73+D75</f>
        <v>0</v>
      </c>
      <c r="L257" s="184">
        <f>IF(K257&gt;[1]Trav!E119,[1]Trav!C119,[1]Trav!B119)</f>
        <v>1.4</v>
      </c>
      <c r="N257" s="168"/>
      <c r="O257">
        <f t="shared" si="114"/>
        <v>0</v>
      </c>
    </row>
    <row r="258" spans="1:15" x14ac:dyDescent="0.25">
      <c r="A258" s="2"/>
      <c r="B258" s="14" t="s">
        <v>581</v>
      </c>
      <c r="C258" s="266">
        <f>Travail!F32</f>
        <v>0</v>
      </c>
      <c r="D258" s="255">
        <f t="shared" ref="D258:D259" si="115">ROUND(C258*D$82/C$82,0)</f>
        <v>0</v>
      </c>
      <c r="E258" s="17"/>
      <c r="J258" s="32" t="s">
        <v>818</v>
      </c>
      <c r="K258" s="169">
        <f>D85*((100-Scénario!K31)/100)</f>
        <v>0</v>
      </c>
      <c r="L258" s="184">
        <f>IF(K258&gt;[1]Trav!E121,[1]Trav!C121,[1]Trav!B121)</f>
        <v>7.2</v>
      </c>
      <c r="N258" s="168"/>
      <c r="O258">
        <f t="shared" si="114"/>
        <v>0</v>
      </c>
    </row>
    <row r="259" spans="1:15" x14ac:dyDescent="0.25">
      <c r="B259" s="14" t="s">
        <v>588</v>
      </c>
      <c r="C259" s="266">
        <f>Travail!F33</f>
        <v>0</v>
      </c>
      <c r="D259" s="255">
        <f t="shared" si="115"/>
        <v>0</v>
      </c>
      <c r="J259" s="32" t="s">
        <v>819</v>
      </c>
      <c r="K259" s="169">
        <f>D86</f>
        <v>0</v>
      </c>
      <c r="L259" s="184">
        <f>IF(K259&gt;[1]Trav!E121,[1]Trav!C121,[1]Trav!B121)</f>
        <v>7.2</v>
      </c>
      <c r="N259" s="168"/>
      <c r="O259">
        <f t="shared" si="114"/>
        <v>0</v>
      </c>
    </row>
    <row r="260" spans="1:15" x14ac:dyDescent="0.25">
      <c r="A260" s="2" t="s">
        <v>795</v>
      </c>
      <c r="B260" s="14" t="s">
        <v>567</v>
      </c>
      <c r="C260" s="266">
        <f>ROUND(Travail!F35,0)</f>
        <v>0</v>
      </c>
      <c r="D260" s="260">
        <f>ROUND(Travail!B35+(Travail!D35*Travail!C35*'Synthèse résultats'!G63),0)</f>
        <v>0</v>
      </c>
      <c r="E260" s="17" t="s">
        <v>1403</v>
      </c>
      <c r="J260" s="32" t="s">
        <v>820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14"/>
        <v>0</v>
      </c>
    </row>
    <row r="261" spans="1:15" x14ac:dyDescent="0.25">
      <c r="A261" s="2" t="s">
        <v>800</v>
      </c>
      <c r="B261" s="14" t="s">
        <v>567</v>
      </c>
      <c r="C261" s="266">
        <f>Travail!F39</f>
        <v>0</v>
      </c>
      <c r="D261" s="255">
        <f>ROUND(C261*G63,0)</f>
        <v>0</v>
      </c>
      <c r="E261" s="17" t="s">
        <v>1404</v>
      </c>
      <c r="J261" s="32" t="s">
        <v>821</v>
      </c>
      <c r="K261" s="169">
        <f>D88</f>
        <v>0</v>
      </c>
      <c r="L261" s="184">
        <f>IF(K261&gt;[1]Trav!E122,[1]Trav!C122,[1]Trav!B122)</f>
        <v>4.4000000000000004</v>
      </c>
      <c r="M261" s="5"/>
      <c r="N261" s="168"/>
      <c r="O261">
        <f t="shared" si="114"/>
        <v>0</v>
      </c>
    </row>
    <row r="262" spans="1:15" x14ac:dyDescent="0.25">
      <c r="A262" s="2" t="s">
        <v>1405</v>
      </c>
      <c r="B262" s="14" t="s">
        <v>811</v>
      </c>
      <c r="C262" s="266">
        <f>Travail!F50</f>
        <v>0</v>
      </c>
      <c r="D262" s="260">
        <f t="shared" ref="D262:D271" si="116">ROUND(K253*L253,0)</f>
        <v>0</v>
      </c>
      <c r="E262" s="17" t="s">
        <v>1406</v>
      </c>
      <c r="J262" s="32" t="s">
        <v>823</v>
      </c>
      <c r="K262" s="169">
        <f>D89</f>
        <v>0</v>
      </c>
      <c r="L262" s="184">
        <f>[1]Trav!$B$123</f>
        <v>7.2</v>
      </c>
      <c r="M262" s="5"/>
      <c r="N262" s="168"/>
      <c r="O262">
        <f t="shared" si="114"/>
        <v>0</v>
      </c>
    </row>
    <row r="263" spans="1:15" x14ac:dyDescent="0.25">
      <c r="B263" s="14" t="s">
        <v>813</v>
      </c>
      <c r="C263" s="266">
        <f>Travail!F51</f>
        <v>33</v>
      </c>
      <c r="D263" s="260">
        <f t="shared" si="116"/>
        <v>0</v>
      </c>
    </row>
    <row r="264" spans="1:15" x14ac:dyDescent="0.25">
      <c r="B264" s="32" t="s">
        <v>815</v>
      </c>
      <c r="C264" s="266">
        <f>Travail!F52</f>
        <v>0</v>
      </c>
      <c r="D264" s="260">
        <f t="shared" si="116"/>
        <v>0</v>
      </c>
    </row>
    <row r="265" spans="1:15" x14ac:dyDescent="0.25">
      <c r="B265" s="32" t="s">
        <v>816</v>
      </c>
      <c r="C265" s="266">
        <f>Travail!F53</f>
        <v>0</v>
      </c>
      <c r="D265" s="260">
        <f t="shared" si="116"/>
        <v>0</v>
      </c>
    </row>
    <row r="266" spans="1:15" x14ac:dyDescent="0.25">
      <c r="B266" s="32" t="s">
        <v>817</v>
      </c>
      <c r="C266" s="266">
        <f>Travail!F54</f>
        <v>25</v>
      </c>
      <c r="D266" s="260">
        <f t="shared" si="116"/>
        <v>0</v>
      </c>
    </row>
    <row r="267" spans="1:15" x14ac:dyDescent="0.25">
      <c r="B267" s="32" t="s">
        <v>818</v>
      </c>
      <c r="C267" s="266">
        <f>Travail!F55</f>
        <v>101</v>
      </c>
      <c r="D267" s="260">
        <f t="shared" si="116"/>
        <v>0</v>
      </c>
    </row>
    <row r="268" spans="1:15" x14ac:dyDescent="0.25">
      <c r="B268" s="32" t="s">
        <v>819</v>
      </c>
      <c r="C268" s="266">
        <f>Travail!F56</f>
        <v>127</v>
      </c>
      <c r="D268" s="260">
        <f t="shared" si="116"/>
        <v>0</v>
      </c>
    </row>
    <row r="269" spans="1:15" x14ac:dyDescent="0.25">
      <c r="B269" s="32" t="s">
        <v>820</v>
      </c>
      <c r="C269" s="266">
        <f>Travail!F57</f>
        <v>29</v>
      </c>
      <c r="D269" s="260">
        <f t="shared" si="116"/>
        <v>0</v>
      </c>
    </row>
    <row r="270" spans="1:15" x14ac:dyDescent="0.25">
      <c r="B270" s="32" t="s">
        <v>821</v>
      </c>
      <c r="C270" s="266">
        <f>Travail!F58</f>
        <v>15</v>
      </c>
      <c r="D270" s="260">
        <f t="shared" si="116"/>
        <v>0</v>
      </c>
    </row>
    <row r="271" spans="1:15" x14ac:dyDescent="0.25">
      <c r="B271" s="32" t="s">
        <v>823</v>
      </c>
      <c r="C271" s="266">
        <f>Travail!F59</f>
        <v>70</v>
      </c>
      <c r="D271" s="260">
        <f t="shared" si="116"/>
        <v>0</v>
      </c>
    </row>
    <row r="272" spans="1:15" x14ac:dyDescent="0.25">
      <c r="A272" s="23" t="s">
        <v>1407</v>
      </c>
      <c r="B272" s="32" t="s">
        <v>827</v>
      </c>
      <c r="C272" s="266">
        <f>Travail!F61</f>
        <v>120</v>
      </c>
      <c r="D272" s="169">
        <f>C272</f>
        <v>120</v>
      </c>
    </row>
    <row r="273" spans="1:4" x14ac:dyDescent="0.25">
      <c r="B273" s="32" t="s">
        <v>828</v>
      </c>
      <c r="C273" s="266">
        <f>Travail!F62</f>
        <v>120</v>
      </c>
      <c r="D273" s="169">
        <f t="shared" ref="D273:D274" si="117">C273</f>
        <v>120</v>
      </c>
    </row>
    <row r="274" spans="1:4" x14ac:dyDescent="0.25">
      <c r="B274" s="32" t="s">
        <v>1408</v>
      </c>
      <c r="C274" s="266">
        <f>SUM(Travail!F63:F65)</f>
        <v>160</v>
      </c>
      <c r="D274" s="169">
        <f t="shared" si="117"/>
        <v>160</v>
      </c>
    </row>
    <row r="275" spans="1:4" x14ac:dyDescent="0.25">
      <c r="A275" s="23" t="s">
        <v>1409</v>
      </c>
      <c r="B275" s="32" t="s">
        <v>1410</v>
      </c>
      <c r="C275" s="266">
        <f>C191*8</f>
        <v>0</v>
      </c>
      <c r="D275" s="169">
        <f>C275</f>
        <v>0</v>
      </c>
    </row>
    <row r="276" spans="1:4" x14ac:dyDescent="0.25">
      <c r="A276" s="23"/>
      <c r="B276" s="32" t="s">
        <v>1411</v>
      </c>
      <c r="C276" s="266">
        <f>C192*8</f>
        <v>0</v>
      </c>
      <c r="D276" s="260">
        <f>D192*8</f>
        <v>0</v>
      </c>
    </row>
    <row r="277" spans="1:4" x14ac:dyDescent="0.25">
      <c r="B277" s="32" t="s">
        <v>1412</v>
      </c>
      <c r="C277" s="266">
        <f>Travail!F75+Travail!F81</f>
        <v>9</v>
      </c>
      <c r="D277" s="169">
        <f>C277</f>
        <v>9</v>
      </c>
    </row>
    <row r="278" spans="1:4" x14ac:dyDescent="0.25">
      <c r="B278" s="32" t="s">
        <v>1413</v>
      </c>
      <c r="C278" s="266">
        <f>Travail!F76</f>
        <v>0</v>
      </c>
      <c r="D278" s="169">
        <f>C278</f>
        <v>0</v>
      </c>
    </row>
    <row r="279" spans="1:4" x14ac:dyDescent="0.25">
      <c r="B279" s="32" t="s">
        <v>1414</v>
      </c>
      <c r="C279" s="266">
        <f>Travail!F86</f>
        <v>0</v>
      </c>
      <c r="D279" s="266">
        <f>C279</f>
        <v>0</v>
      </c>
    </row>
    <row r="280" spans="1:4" x14ac:dyDescent="0.25">
      <c r="B280" s="32" t="s">
        <v>1415</v>
      </c>
      <c r="C280" s="266">
        <f>Travail!F87</f>
        <v>0</v>
      </c>
      <c r="D280" s="266">
        <f>C280</f>
        <v>0</v>
      </c>
    </row>
    <row r="281" spans="1:4" x14ac:dyDescent="0.25">
      <c r="A281" s="2" t="s">
        <v>1416</v>
      </c>
      <c r="B281" s="14" t="s">
        <v>1417</v>
      </c>
      <c r="C281" s="169">
        <f>ROUND(C245+C248+C251+C254+C257+C260+C261,0)</f>
        <v>1470</v>
      </c>
      <c r="D281" s="260">
        <f>ROUND(D245+D248+D251+D254+D257+D260+D261,0)</f>
        <v>0</v>
      </c>
    </row>
    <row r="282" spans="1:4" x14ac:dyDescent="0.25">
      <c r="B282" s="14" t="s">
        <v>1418</v>
      </c>
      <c r="C282" s="169">
        <f>ROUND(C246+C249+C252+C255+C258,0)</f>
        <v>0</v>
      </c>
      <c r="D282" s="260">
        <f>ROUND(D246+D249+D252+D255+D258,0)</f>
        <v>0</v>
      </c>
    </row>
    <row r="283" spans="1:4" x14ac:dyDescent="0.25">
      <c r="B283" s="14" t="s">
        <v>1419</v>
      </c>
      <c r="C283" s="169">
        <f>ROUND(C247+C250+C253+C256+C259,0)</f>
        <v>0</v>
      </c>
      <c r="D283" s="260">
        <f>ROUND(D247+D250+D253+D256+D259,0)</f>
        <v>0</v>
      </c>
    </row>
    <row r="284" spans="1:4" x14ac:dyDescent="0.25">
      <c r="B284" s="14" t="s">
        <v>1420</v>
      </c>
      <c r="C284" s="169">
        <f>ROUND(C281/Troupeau!$B$17,2)</f>
        <v>36.75</v>
      </c>
      <c r="D284" s="169" t="e">
        <f>ROUND(D281/(Troupeau!$B$17*G63),2)</f>
        <v>#DIV/0!</v>
      </c>
    </row>
    <row r="285" spans="1:4" x14ac:dyDescent="0.25">
      <c r="B285" s="14" t="s">
        <v>1421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1422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1423</v>
      </c>
      <c r="C287" s="169">
        <f>SUM(C281:C283)</f>
        <v>1470</v>
      </c>
      <c r="D287" s="260">
        <f>SUM(D281:D283)</f>
        <v>0</v>
      </c>
    </row>
    <row r="288" spans="1:4" x14ac:dyDescent="0.25">
      <c r="B288" s="14" t="s">
        <v>1424</v>
      </c>
      <c r="C288" s="169">
        <f>SUM(C272:C274)</f>
        <v>400</v>
      </c>
      <c r="D288" s="260">
        <f>SUM(D272:D274)</f>
        <v>400</v>
      </c>
    </row>
    <row r="289" spans="2:4" x14ac:dyDescent="0.25">
      <c r="B289" s="14" t="s">
        <v>1425</v>
      </c>
      <c r="C289" s="169">
        <f>SUM(C262:C271)</f>
        <v>400</v>
      </c>
      <c r="D289" s="260">
        <f>SUM(D262:D271)</f>
        <v>0</v>
      </c>
    </row>
    <row r="290" spans="2:4" x14ac:dyDescent="0.25">
      <c r="B290" s="14" t="s">
        <v>1426</v>
      </c>
      <c r="C290" s="266">
        <f>C275+C276+C277</f>
        <v>9</v>
      </c>
      <c r="D290" s="267">
        <f>D275+D276+D277</f>
        <v>9</v>
      </c>
    </row>
    <row r="291" spans="2:4" x14ac:dyDescent="0.25">
      <c r="B291" s="14" t="s">
        <v>1427</v>
      </c>
      <c r="C291" s="266">
        <f>C278+C279+C280</f>
        <v>0</v>
      </c>
      <c r="D291" s="266">
        <f>D278+D279+D280</f>
        <v>0</v>
      </c>
    </row>
    <row r="292" spans="2:4" x14ac:dyDescent="0.25">
      <c r="B292" s="14" t="s">
        <v>904</v>
      </c>
      <c r="C292" s="169">
        <f>ROUND(SUM(C287:C291),0)</f>
        <v>2279</v>
      </c>
      <c r="D292" s="260">
        <f>ROUND(SUM(D287:D291),0)</f>
        <v>409</v>
      </c>
    </row>
    <row r="293" spans="2:4" x14ac:dyDescent="0.25">
      <c r="B293" s="14" t="s">
        <v>905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906</v>
      </c>
      <c r="C294" s="169">
        <f>ROUND((C292-C293)/C83,0)</f>
        <v>2279</v>
      </c>
      <c r="D294" s="169" t="e">
        <f>ROUND((D292-D293)/D83,0)</f>
        <v>#DIV/0!</v>
      </c>
    </row>
    <row r="295" spans="2:4" x14ac:dyDescent="0.25">
      <c r="B295" s="14" t="s">
        <v>1440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1441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1442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1443</v>
      </c>
      <c r="C298" s="169">
        <f>IF(Troupeau!$B$3="OL",CdTrp1!AA220,0)</f>
        <v>0</v>
      </c>
    </row>
    <row r="299" spans="2:4" x14ac:dyDescent="0.25">
      <c r="B299" s="14" t="s">
        <v>1444</v>
      </c>
      <c r="C299" s="169">
        <f>IF(Troupeau!$B$3="OL",CdTrp1!AA221,0)</f>
        <v>0</v>
      </c>
    </row>
    <row r="300" spans="2:4" x14ac:dyDescent="0.25">
      <c r="B300" s="14" t="s">
        <v>1445</v>
      </c>
      <c r="C300" s="169">
        <f>IF(Troupeau!$B$3="BV",CdTrp1!AA220,0)+IF(Troupeau!$C$3="BV",CdTrp2!AA220,0)</f>
        <v>0</v>
      </c>
    </row>
    <row r="301" spans="2:4" x14ac:dyDescent="0.25">
      <c r="B301" s="14" t="s">
        <v>1446</v>
      </c>
      <c r="C301" s="169">
        <f>IF(Troupeau!$B$3="BV",CdTrp1!AA221,0)+IF(Troupeau!$C$3="BV",CdTrp2!AA221,0)</f>
        <v>0</v>
      </c>
    </row>
    <row r="302" spans="2:4" x14ac:dyDescent="0.25">
      <c r="B302" s="14" t="s">
        <v>1447</v>
      </c>
      <c r="C302" s="169">
        <f>IF(Troupeau!$B$3="VL",CdTrp1!AA220,0)</f>
        <v>0</v>
      </c>
    </row>
    <row r="303" spans="2:4" x14ac:dyDescent="0.25">
      <c r="B303" s="14" t="s">
        <v>1448</v>
      </c>
      <c r="C303" s="169">
        <f>'Alim -Surf'!H10</f>
        <v>27.3</v>
      </c>
    </row>
    <row r="304" spans="2:4" x14ac:dyDescent="0.25">
      <c r="B304" s="14" t="s">
        <v>1449</v>
      </c>
      <c r="C304" s="169">
        <f>Protection!BL31+Protection!BK31</f>
        <v>24.45</v>
      </c>
    </row>
    <row r="305" spans="2:3" x14ac:dyDescent="0.25">
      <c r="B305" s="14" t="s">
        <v>1450</v>
      </c>
      <c r="C305" s="169">
        <f>Protection!BJ31</f>
        <v>5.2700000000000005</v>
      </c>
    </row>
    <row r="306" spans="2:3" x14ac:dyDescent="0.25">
      <c r="B306" s="14" t="s">
        <v>1451</v>
      </c>
      <c r="C306" s="169">
        <f>'Calcul éco'!X233</f>
        <v>0</v>
      </c>
    </row>
    <row r="307" spans="2:3" x14ac:dyDescent="0.25">
      <c r="B307" s="14" t="s">
        <v>1452</v>
      </c>
      <c r="C307" s="169">
        <f>'Calcul éco'!X234</f>
        <v>0</v>
      </c>
    </row>
    <row r="308" spans="2:3" x14ac:dyDescent="0.25">
      <c r="B308" s="14" t="s">
        <v>1453</v>
      </c>
      <c r="C308" s="169">
        <f>'Calcul éco'!X235</f>
        <v>0</v>
      </c>
    </row>
    <row r="309" spans="2:3" x14ac:dyDescent="0.25">
      <c r="B309" s="14" t="s">
        <v>1454</v>
      </c>
      <c r="C309" s="169">
        <f>'Calcul éco'!X236</f>
        <v>0</v>
      </c>
    </row>
    <row r="310" spans="2:3" x14ac:dyDescent="0.25">
      <c r="B310" s="14" t="s">
        <v>1455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3" sqref="J3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453</v>
      </c>
      <c r="C3" s="77"/>
      <c r="D3" s="77"/>
      <c r="E3" s="77"/>
    </row>
    <row r="4" spans="1:13" x14ac:dyDescent="0.25">
      <c r="A4" t="s">
        <v>98</v>
      </c>
      <c r="B4" s="77">
        <v>43</v>
      </c>
      <c r="C4" s="77"/>
      <c r="D4" s="77"/>
      <c r="E4" s="77"/>
      <c r="H4" s="59" t="s">
        <v>326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14</v>
      </c>
      <c r="C6" s="77"/>
      <c r="D6" s="77"/>
      <c r="E6" s="77"/>
      <c r="H6" t="s">
        <v>432</v>
      </c>
    </row>
    <row r="7" spans="1:13" x14ac:dyDescent="0.25">
      <c r="A7" t="s">
        <v>114</v>
      </c>
      <c r="B7" s="77">
        <v>3</v>
      </c>
      <c r="C7" s="77"/>
      <c r="D7" s="77"/>
      <c r="E7" s="77"/>
      <c r="H7" t="s">
        <v>431</v>
      </c>
    </row>
    <row r="8" spans="1:13" s="5" customFormat="1" x14ac:dyDescent="0.25">
      <c r="A8" t="s">
        <v>103</v>
      </c>
      <c r="B8" s="77">
        <v>14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/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/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 t="s">
        <v>429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14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40</v>
      </c>
      <c r="C17" s="60"/>
      <c r="D17" s="60"/>
      <c r="E17" s="60"/>
      <c r="H17" s="2" t="s">
        <v>152</v>
      </c>
      <c r="I17" s="22"/>
      <c r="J17" s="60">
        <v>10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85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34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9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9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9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7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49.75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34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3.15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5.3999999999999995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7.2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25.466666666666665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0.6366666666666666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26.74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9792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244.79999999999998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3264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81.599999999999994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4536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504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907.19999999999993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100.8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198" activePane="bottomLeft" state="frozen"/>
      <selection pane="bottomLeft" activeCell="F206" sqref="F20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1439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1438</v>
      </c>
      <c r="AI2" s="1">
        <v>43</v>
      </c>
      <c r="AK2" s="50" t="s">
        <v>226</v>
      </c>
      <c r="AL2" s="60"/>
      <c r="AM2" s="60"/>
      <c r="AN2" s="60"/>
      <c r="AO2" s="60"/>
      <c r="AP2" s="157"/>
      <c r="AQ2" s="157"/>
      <c r="AR2" s="158">
        <v>15</v>
      </c>
      <c r="AS2" s="158">
        <v>13</v>
      </c>
      <c r="AT2" s="158">
        <v>8</v>
      </c>
      <c r="AU2" s="158">
        <v>4</v>
      </c>
      <c r="AV2" s="158">
        <v>2</v>
      </c>
      <c r="AW2" s="158">
        <v>0</v>
      </c>
      <c r="AX2" s="157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30</v>
      </c>
      <c r="AM3" s="60">
        <v>33</v>
      </c>
      <c r="AN3" s="60">
        <v>33</v>
      </c>
      <c r="AO3" s="60">
        <v>33</v>
      </c>
      <c r="AP3" s="60">
        <v>33</v>
      </c>
      <c r="AQ3" s="60">
        <v>33</v>
      </c>
      <c r="AR3" s="60">
        <v>18</v>
      </c>
      <c r="AS3" s="60">
        <v>20</v>
      </c>
      <c r="AT3" s="60">
        <v>25</v>
      </c>
      <c r="AU3" s="60">
        <v>29</v>
      </c>
      <c r="AV3" s="60">
        <v>31</v>
      </c>
      <c r="AW3" s="60">
        <v>33</v>
      </c>
      <c r="AX3" s="60">
        <v>33</v>
      </c>
      <c r="AY3" s="60">
        <v>33</v>
      </c>
      <c r="AZ3" s="60">
        <v>33</v>
      </c>
      <c r="BA3" s="60">
        <v>32</v>
      </c>
      <c r="BB3" s="60">
        <v>21</v>
      </c>
      <c r="BC3" s="60">
        <v>21</v>
      </c>
      <c r="BD3" s="60">
        <v>21</v>
      </c>
      <c r="BE3" s="60">
        <v>22</v>
      </c>
      <c r="BF3" s="60">
        <v>22</v>
      </c>
      <c r="BG3" s="60">
        <v>23</v>
      </c>
      <c r="BH3" s="60">
        <v>23</v>
      </c>
      <c r="BI3" s="60">
        <v>26</v>
      </c>
    </row>
    <row r="4" spans="1:61" x14ac:dyDescent="0.25">
      <c r="A4" s="2" t="s">
        <v>327</v>
      </c>
      <c r="AC4" t="s">
        <v>181</v>
      </c>
      <c r="AF4" s="290">
        <f>+Troupeau!J17</f>
        <v>10</v>
      </c>
      <c r="AK4" s="50" t="s">
        <v>156</v>
      </c>
      <c r="AL4" s="60">
        <v>11</v>
      </c>
      <c r="AM4" s="60">
        <v>13</v>
      </c>
      <c r="AN4" s="60">
        <v>17</v>
      </c>
      <c r="AO4" s="60">
        <v>20</v>
      </c>
      <c r="AP4" s="60">
        <v>20</v>
      </c>
      <c r="AQ4" s="60">
        <v>20</v>
      </c>
      <c r="AR4" s="60">
        <v>20</v>
      </c>
      <c r="AS4" s="60">
        <v>20</v>
      </c>
      <c r="AT4" s="60">
        <v>20</v>
      </c>
      <c r="AU4" s="60">
        <v>20</v>
      </c>
      <c r="AV4" s="60">
        <v>20</v>
      </c>
      <c r="AW4" s="60">
        <v>20</v>
      </c>
      <c r="AX4" s="60">
        <v>20</v>
      </c>
      <c r="AY4" s="60">
        <v>20</v>
      </c>
      <c r="AZ4" s="60">
        <v>20</v>
      </c>
      <c r="BA4" s="60">
        <v>20</v>
      </c>
      <c r="BB4" s="60">
        <v>19</v>
      </c>
      <c r="BC4" s="60">
        <v>19</v>
      </c>
      <c r="BD4" s="60">
        <v>17</v>
      </c>
      <c r="BE4" s="60">
        <v>15</v>
      </c>
      <c r="BF4" s="60">
        <v>13</v>
      </c>
      <c r="BG4" s="60">
        <v>11</v>
      </c>
      <c r="BH4" s="60">
        <v>10</v>
      </c>
      <c r="BI4" s="60">
        <v>10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10</v>
      </c>
      <c r="AM5" s="60">
        <v>10</v>
      </c>
      <c r="AN5" s="60">
        <v>10</v>
      </c>
      <c r="AO5" s="60">
        <v>10</v>
      </c>
      <c r="AP5" s="60">
        <v>10</v>
      </c>
      <c r="AQ5" s="60">
        <v>10</v>
      </c>
      <c r="AR5" s="60">
        <v>10</v>
      </c>
      <c r="AS5" s="60">
        <v>10</v>
      </c>
      <c r="AT5" s="60">
        <v>10</v>
      </c>
      <c r="AU5" s="60">
        <v>10</v>
      </c>
      <c r="AV5" s="60">
        <v>10</v>
      </c>
      <c r="AW5" s="60">
        <v>10</v>
      </c>
      <c r="AX5" s="60">
        <v>10</v>
      </c>
      <c r="AY5" s="60">
        <v>10</v>
      </c>
      <c r="AZ5" s="60">
        <v>10</v>
      </c>
      <c r="BA5" s="60">
        <v>10</v>
      </c>
      <c r="BB5" s="60">
        <v>10</v>
      </c>
      <c r="BC5" s="60">
        <v>10</v>
      </c>
      <c r="BD5" s="60">
        <v>10</v>
      </c>
      <c r="BE5" s="60">
        <v>10</v>
      </c>
      <c r="BF5" s="60">
        <v>10</v>
      </c>
      <c r="BG5" s="60">
        <v>10</v>
      </c>
      <c r="BH5" s="60">
        <v>10</v>
      </c>
      <c r="BI5" s="60">
        <v>10</v>
      </c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>
        <v>3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11</v>
      </c>
      <c r="BC6" s="60">
        <v>11</v>
      </c>
      <c r="BD6" s="60">
        <v>11</v>
      </c>
      <c r="BE6" s="60">
        <v>11</v>
      </c>
      <c r="BF6" s="60">
        <v>11</v>
      </c>
      <c r="BG6" s="60">
        <v>11</v>
      </c>
      <c r="BH6" s="60">
        <v>11</v>
      </c>
      <c r="BI6" s="60">
        <v>7</v>
      </c>
    </row>
    <row r="7" spans="1:61" x14ac:dyDescent="0.25">
      <c r="A7" s="137" t="s">
        <v>331</v>
      </c>
      <c r="B7" s="60">
        <v>1</v>
      </c>
      <c r="C7" s="60">
        <v>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455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456</v>
      </c>
      <c r="B10" s="60"/>
      <c r="C10" s="60"/>
      <c r="D10" s="60"/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452</v>
      </c>
      <c r="B15" s="277">
        <f>CdTrp1!AL2*Troupeau!$B$17/CdTrp1!$AI$2</f>
        <v>0</v>
      </c>
      <c r="C15" s="277">
        <f>CdTrp1!AM2*Troupeau!$B$17/CdTrp1!$AI$2</f>
        <v>0</v>
      </c>
      <c r="D15" s="277">
        <f>CdTrp1!AN2*Troupeau!$B$17/CdTrp1!$AI$2</f>
        <v>0</v>
      </c>
      <c r="E15" s="277">
        <f>CdTrp1!AO2*Troupeau!$B$17/CdTrp1!$AI$2</f>
        <v>0</v>
      </c>
      <c r="F15" s="277">
        <f>CdTrp1!AP2*Troupeau!$B$17/CdTrp1!$AI$2</f>
        <v>0</v>
      </c>
      <c r="G15" s="277">
        <f>CdTrp1!AQ2*Troupeau!$B$17/CdTrp1!$AI$2</f>
        <v>0</v>
      </c>
      <c r="H15" s="277">
        <f>CdTrp1!AR2*Troupeau!$B$17/CdTrp1!$AI$2</f>
        <v>13.953488372093023</v>
      </c>
      <c r="I15" s="277">
        <f>CdTrp1!AS2*Troupeau!$B$17/CdTrp1!$AI$2</f>
        <v>12.093023255813954</v>
      </c>
      <c r="J15" s="277">
        <f>CdTrp1!AT2*Troupeau!$B$17/CdTrp1!$AI$2</f>
        <v>7.441860465116279</v>
      </c>
      <c r="K15" s="277">
        <f>CdTrp1!AU2*Troupeau!$B$17/CdTrp1!$AI$2</f>
        <v>3.7209302325581395</v>
      </c>
      <c r="L15" s="277">
        <f>CdTrp1!AV2*Troupeau!$B$17/CdTrp1!$AI$2</f>
        <v>1.8604651162790697</v>
      </c>
      <c r="M15" s="277">
        <f>CdTrp1!AW2*Troupeau!$B$17/CdTrp1!$AI$2</f>
        <v>0</v>
      </c>
      <c r="N15" s="277">
        <f>CdTrp1!AX2*Troupeau!$B$17/CdTrp1!$AI$2</f>
        <v>0</v>
      </c>
      <c r="O15" s="277">
        <f>CdTrp1!AY2*Troupeau!$B$17/CdTrp1!$AI$2</f>
        <v>0</v>
      </c>
      <c r="P15" s="277">
        <f>CdTrp1!AZ2*Troupeau!$B$17/CdTrp1!$AI$2</f>
        <v>0</v>
      </c>
      <c r="Q15" s="277">
        <f>CdTrp1!BA2*Troupeau!$B$17/CdTrp1!$AI$2</f>
        <v>0</v>
      </c>
      <c r="R15" s="277">
        <f>CdTrp1!BB2*Troupeau!$B$17/CdTrp1!$AI$2</f>
        <v>0</v>
      </c>
      <c r="S15" s="277">
        <f>CdTrp1!BC2*Troupeau!$B$17/CdTrp1!$AI$2</f>
        <v>0</v>
      </c>
      <c r="T15" s="277">
        <f>CdTrp1!BD2*Troupeau!$B$17/CdTrp1!$AI$2</f>
        <v>0</v>
      </c>
      <c r="U15" s="277">
        <f>CdTrp1!BE2*Troupeau!$B$17/CdTrp1!$AI$2</f>
        <v>0</v>
      </c>
      <c r="V15" s="277">
        <f>CdTrp1!BF2*Troupeau!$B$17/CdTrp1!$AI$2</f>
        <v>0</v>
      </c>
      <c r="W15" s="277">
        <f>CdTrp1!BG2*Troupeau!$B$17/CdTrp1!$AI$2</f>
        <v>0</v>
      </c>
      <c r="X15" s="277">
        <f>CdTrp1!BH2*Troupeau!$B$17/CdTrp1!$AI$2</f>
        <v>0</v>
      </c>
      <c r="Y15" s="277">
        <f>CdTrp1!BI2*Troupeau!$B$17/CdTrp1!$AI$2</f>
        <v>0</v>
      </c>
      <c r="Z15" s="52"/>
    </row>
    <row r="16" spans="1:61" x14ac:dyDescent="0.25">
      <c r="A16" s="50" t="s">
        <v>451</v>
      </c>
      <c r="B16" s="277">
        <f>CdTrp1!AL3*Troupeau!$B$17/CdTrp1!$AI$2</f>
        <v>27.906976744186046</v>
      </c>
      <c r="C16" s="277">
        <f>CdTrp1!AM3*Troupeau!$B$17/CdTrp1!$AI$2</f>
        <v>30.697674418604652</v>
      </c>
      <c r="D16" s="277">
        <f>CdTrp1!AN3*Troupeau!$B$17/CdTrp1!$AI$2</f>
        <v>30.697674418604652</v>
      </c>
      <c r="E16" s="277">
        <f>CdTrp1!AO3*Troupeau!$B$17/CdTrp1!$AI$2</f>
        <v>30.697674418604652</v>
      </c>
      <c r="F16" s="277">
        <f>CdTrp1!AP3*Troupeau!$B$17/CdTrp1!$AI$2</f>
        <v>30.697674418604652</v>
      </c>
      <c r="G16" s="277">
        <f>CdTrp1!AQ3*Troupeau!$B$17/CdTrp1!$AI$2</f>
        <v>30.697674418604652</v>
      </c>
      <c r="H16" s="277">
        <f>CdTrp1!AR3*Troupeau!$B$17/CdTrp1!$AI$2</f>
        <v>16.744186046511629</v>
      </c>
      <c r="I16" s="277">
        <f>CdTrp1!AS3*Troupeau!$B$17/CdTrp1!$AI$2</f>
        <v>18.604651162790699</v>
      </c>
      <c r="J16" s="277">
        <f>CdTrp1!AT3*Troupeau!$B$17/CdTrp1!$AI$2</f>
        <v>23.255813953488371</v>
      </c>
      <c r="K16" s="277">
        <f>CdTrp1!AU3*Troupeau!$B$17/CdTrp1!$AI$2</f>
        <v>26.976744186046513</v>
      </c>
      <c r="L16" s="277">
        <f>CdTrp1!AV3*Troupeau!$B$17/CdTrp1!$AI$2</f>
        <v>28.837209302325583</v>
      </c>
      <c r="M16" s="277">
        <f>CdTrp1!AW3*Troupeau!$B$17/CdTrp1!$AI$2</f>
        <v>30.697674418604652</v>
      </c>
      <c r="N16" s="277">
        <f>CdTrp1!AX3*Troupeau!$B$17/CdTrp1!$AI$2</f>
        <v>30.697674418604652</v>
      </c>
      <c r="O16" s="277">
        <f>CdTrp1!AY3*Troupeau!$B$17/CdTrp1!$AI$2</f>
        <v>30.697674418604652</v>
      </c>
      <c r="P16" s="277">
        <f>CdTrp1!AZ3*Troupeau!$B$17/CdTrp1!$AI$2</f>
        <v>30.697674418604652</v>
      </c>
      <c r="Q16" s="277">
        <f>CdTrp1!BA3*Troupeau!$B$17/CdTrp1!$AI$2</f>
        <v>29.767441860465116</v>
      </c>
      <c r="R16" s="277">
        <f>CdTrp1!BB3*Troupeau!$B$17/CdTrp1!$AI$2</f>
        <v>19.534883720930232</v>
      </c>
      <c r="S16" s="277">
        <f>CdTrp1!BC3*Troupeau!$B$17/CdTrp1!$AI$2</f>
        <v>19.534883720930232</v>
      </c>
      <c r="T16" s="277">
        <f>CdTrp1!BD3*Troupeau!$B$17/CdTrp1!$AI$2</f>
        <v>19.534883720930232</v>
      </c>
      <c r="U16" s="277">
        <f>CdTrp1!BE3*Troupeau!$B$17/CdTrp1!$AI$2</f>
        <v>20.465116279069768</v>
      </c>
      <c r="V16" s="277">
        <f>CdTrp1!BF3*Troupeau!$B$17/CdTrp1!$AI$2</f>
        <v>20.465116279069768</v>
      </c>
      <c r="W16" s="277">
        <f>CdTrp1!BG3*Troupeau!$B$17/CdTrp1!$AI$2</f>
        <v>21.395348837209301</v>
      </c>
      <c r="X16" s="277">
        <f>CdTrp1!BH3*Troupeau!$B$17/CdTrp1!$AI$2</f>
        <v>21.395348837209301</v>
      </c>
      <c r="Y16" s="277">
        <f>CdTrp1!BI3*Troupeau!$B$17/CdTrp1!$AI$2</f>
        <v>24.186046511627907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433</v>
      </c>
      <c r="B17" s="277">
        <f>CdTrp1!AL4*Troupeau!$B$17/CdTrp1!$AI$2</f>
        <v>10.232558139534884</v>
      </c>
      <c r="C17" s="277">
        <f>CdTrp1!AM4*Troupeau!$B$17/CdTrp1!$AI$2</f>
        <v>12.093023255813954</v>
      </c>
      <c r="D17" s="277">
        <f>CdTrp1!AN4*Troupeau!$B$17/CdTrp1!$AI$2</f>
        <v>15.813953488372093</v>
      </c>
      <c r="E17" s="277">
        <f>CdTrp1!AO4*Troupeau!$B$17/CdTrp1!$AI$2</f>
        <v>18.604651162790699</v>
      </c>
      <c r="F17" s="277">
        <f>CdTrp1!AP4*Troupeau!$B$17/CdTrp1!$AI$2</f>
        <v>18.604651162790699</v>
      </c>
      <c r="G17" s="277">
        <f>CdTrp1!AQ4*Troupeau!$B$17/CdTrp1!$AI$2</f>
        <v>18.604651162790699</v>
      </c>
      <c r="H17" s="277">
        <f>CdTrp1!AR4*Troupeau!$B$17/CdTrp1!$AI$2</f>
        <v>18.604651162790699</v>
      </c>
      <c r="I17" s="277">
        <f>CdTrp1!AS4*Troupeau!$B$17/CdTrp1!$AI$2</f>
        <v>18.604651162790699</v>
      </c>
      <c r="J17" s="277">
        <f>CdTrp1!AT4*Troupeau!$B$17/CdTrp1!$AI$2</f>
        <v>18.604651162790699</v>
      </c>
      <c r="K17" s="277">
        <f>CdTrp1!AU4*Troupeau!$B$17/CdTrp1!$AI$2</f>
        <v>18.604651162790699</v>
      </c>
      <c r="L17" s="277">
        <f>CdTrp1!AV4*Troupeau!$B$17/CdTrp1!$AI$2</f>
        <v>18.604651162790699</v>
      </c>
      <c r="M17" s="277">
        <f>CdTrp1!AW4*Troupeau!$B$17/CdTrp1!$AI$2</f>
        <v>18.604651162790699</v>
      </c>
      <c r="N17" s="277">
        <f>CdTrp1!AX4*Troupeau!$B$17/CdTrp1!$AI$2</f>
        <v>18.604651162790699</v>
      </c>
      <c r="O17" s="277">
        <f>CdTrp1!AY4*Troupeau!$B$17/CdTrp1!$AI$2</f>
        <v>18.604651162790699</v>
      </c>
      <c r="P17" s="277">
        <f>CdTrp1!AZ4*Troupeau!$B$17/CdTrp1!$AI$2</f>
        <v>18.604651162790699</v>
      </c>
      <c r="Q17" s="277">
        <f>CdTrp1!BA4*Troupeau!$B$17/CdTrp1!$AI$2</f>
        <v>18.604651162790699</v>
      </c>
      <c r="R17" s="277">
        <f>CdTrp1!BB4*Troupeau!$B$17/CdTrp1!$AI$2</f>
        <v>17.674418604651162</v>
      </c>
      <c r="S17" s="277">
        <f>CdTrp1!BC4*Troupeau!$B$17/CdTrp1!$AI$2</f>
        <v>17.674418604651162</v>
      </c>
      <c r="T17" s="277">
        <f>CdTrp1!BD4*Troupeau!$B$17/CdTrp1!$AI$2</f>
        <v>15.813953488372093</v>
      </c>
      <c r="U17" s="277">
        <f>CdTrp1!BE4*Troupeau!$B$17/CdTrp1!$AI$2</f>
        <v>13.953488372093023</v>
      </c>
      <c r="V17" s="277">
        <f>CdTrp1!BF4*Troupeau!$B$17/CdTrp1!$AI$2</f>
        <v>12.093023255813954</v>
      </c>
      <c r="W17" s="277">
        <f>CdTrp1!BG4*Troupeau!$B$17/CdTrp1!$AI$2</f>
        <v>10.232558139534884</v>
      </c>
      <c r="X17" s="277">
        <f>CdTrp1!BH4*Troupeau!$B$17/CdTrp1!$AI$2</f>
        <v>9.3023255813953494</v>
      </c>
      <c r="Y17" s="277">
        <f>CdTrp1!BI4*Troupeau!$B$17/CdTrp1!$AI$2</f>
        <v>9.3023255813953494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435</v>
      </c>
      <c r="B18" s="277">
        <f>CdTrp1!AL5*Troupeau!$B$17/CdTrp1!$AI$2</f>
        <v>9.3023255813953494</v>
      </c>
      <c r="C18" s="277">
        <f>CdTrp1!AM5*Troupeau!$B$17/CdTrp1!$AI$2</f>
        <v>9.3023255813953494</v>
      </c>
      <c r="D18" s="277">
        <f>CdTrp1!AN5*Troupeau!$B$17/CdTrp1!$AI$2</f>
        <v>9.3023255813953494</v>
      </c>
      <c r="E18" s="277">
        <f>CdTrp1!AO5*Troupeau!$B$17/CdTrp1!$AI$2</f>
        <v>9.3023255813953494</v>
      </c>
      <c r="F18" s="277">
        <f>CdTrp1!AP5*Troupeau!$B$17/CdTrp1!$AI$2</f>
        <v>9.3023255813953494</v>
      </c>
      <c r="G18" s="277">
        <f>CdTrp1!AQ5*Troupeau!$B$17/CdTrp1!$AI$2</f>
        <v>9.3023255813953494</v>
      </c>
      <c r="H18" s="277">
        <f>CdTrp1!AR5*Troupeau!$B$17/CdTrp1!$AI$2</f>
        <v>9.3023255813953494</v>
      </c>
      <c r="I18" s="277">
        <f>CdTrp1!AS5*Troupeau!$B$17/CdTrp1!$AI$2</f>
        <v>9.3023255813953494</v>
      </c>
      <c r="J18" s="277">
        <f>CdTrp1!AT5*Troupeau!$B$17/CdTrp1!$AI$2</f>
        <v>9.3023255813953494</v>
      </c>
      <c r="K18" s="277">
        <f>CdTrp1!AU5*Troupeau!$B$17/CdTrp1!$AI$2</f>
        <v>9.3023255813953494</v>
      </c>
      <c r="L18" s="277">
        <f>CdTrp1!AV5*Troupeau!$B$17/CdTrp1!$AI$2</f>
        <v>9.3023255813953494</v>
      </c>
      <c r="M18" s="277">
        <f>CdTrp1!AW5*Troupeau!$B$17/CdTrp1!$AI$2</f>
        <v>9.3023255813953494</v>
      </c>
      <c r="N18" s="277">
        <f>CdTrp1!AX5*Troupeau!$B$17/CdTrp1!$AI$2</f>
        <v>9.3023255813953494</v>
      </c>
      <c r="O18" s="277">
        <f>CdTrp1!AY5*Troupeau!$B$17/CdTrp1!$AI$2</f>
        <v>9.3023255813953494</v>
      </c>
      <c r="P18" s="277">
        <f>CdTrp1!AZ5*Troupeau!$B$17/CdTrp1!$AI$2</f>
        <v>9.3023255813953494</v>
      </c>
      <c r="Q18" s="277">
        <f>CdTrp1!BA5*Troupeau!$B$17/CdTrp1!$AI$2</f>
        <v>9.3023255813953494</v>
      </c>
      <c r="R18" s="277">
        <f>CdTrp1!BB5*Troupeau!$B$17/CdTrp1!$AI$2</f>
        <v>9.3023255813953494</v>
      </c>
      <c r="S18" s="277">
        <f>CdTrp1!BC5*Troupeau!$B$17/CdTrp1!$AI$2</f>
        <v>9.3023255813953494</v>
      </c>
      <c r="T18" s="277">
        <f>CdTrp1!BD5*Troupeau!$B$17/CdTrp1!$AI$2</f>
        <v>9.3023255813953494</v>
      </c>
      <c r="U18" s="277">
        <f>CdTrp1!BE5*Troupeau!$B$17/CdTrp1!$AI$2</f>
        <v>9.3023255813953494</v>
      </c>
      <c r="V18" s="277">
        <f>CdTrp1!BF5*Troupeau!$B$17/CdTrp1!$AI$2</f>
        <v>9.3023255813953494</v>
      </c>
      <c r="W18" s="277">
        <f>CdTrp1!BG5*Troupeau!$B$17/CdTrp1!$AI$2</f>
        <v>9.3023255813953494</v>
      </c>
      <c r="X18" s="277">
        <f>CdTrp1!BH5*Troupeau!$B$17/CdTrp1!$AI$2</f>
        <v>9.3023255813953494</v>
      </c>
      <c r="Y18" s="277">
        <f>CdTrp1!BI5*Troupeau!$B$17/CdTrp1!$AI$2</f>
        <v>9.3023255813953494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9792</v>
      </c>
      <c r="AK18" s="54">
        <f>IF($AH18=AK$17,ROUND($AI18/1000,1),0)</f>
        <v>9.8000000000000007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436</v>
      </c>
      <c r="B19" s="277">
        <f>CdTrp1!AL6*Troupeau!$B$17/CdTrp1!$AI$2</f>
        <v>2.7906976744186047</v>
      </c>
      <c r="C19" s="277">
        <f>CdTrp1!AM6*Troupeau!$B$17/CdTrp1!$AI$2</f>
        <v>0</v>
      </c>
      <c r="D19" s="277">
        <f>CdTrp1!AN6*Troupeau!$B$17/CdTrp1!$AI$2</f>
        <v>0</v>
      </c>
      <c r="E19" s="277">
        <f>CdTrp1!AO6*Troupeau!$B$17/CdTrp1!$AI$2</f>
        <v>0</v>
      </c>
      <c r="F19" s="277">
        <f>CdTrp1!AP6*Troupeau!$B$17/CdTrp1!$AI$2</f>
        <v>0</v>
      </c>
      <c r="G19" s="277">
        <f>CdTrp1!AQ6*Troupeau!$B$17/CdTrp1!$AI$2</f>
        <v>0</v>
      </c>
      <c r="H19" s="277">
        <f>CdTrp1!AR6*Troupeau!$B$17/CdTrp1!$AI$2</f>
        <v>0</v>
      </c>
      <c r="I19" s="277">
        <f>CdTrp1!AS6*Troupeau!$B$17/CdTrp1!$AI$2</f>
        <v>0</v>
      </c>
      <c r="J19" s="277">
        <f>CdTrp1!AT6*Troupeau!$B$17/CdTrp1!$AI$2</f>
        <v>0</v>
      </c>
      <c r="K19" s="277">
        <f>CdTrp1!AU6*Troupeau!$B$17/CdTrp1!$AI$2</f>
        <v>0</v>
      </c>
      <c r="L19" s="277">
        <f>CdTrp1!AV6*Troupeau!$B$17/CdTrp1!$AI$2</f>
        <v>0</v>
      </c>
      <c r="M19" s="277">
        <f>CdTrp1!AW6*Troupeau!$B$17/CdTrp1!$AI$2</f>
        <v>0</v>
      </c>
      <c r="N19" s="277">
        <f>CdTrp1!AX6*Troupeau!$B$17/CdTrp1!$AI$2</f>
        <v>0</v>
      </c>
      <c r="O19" s="277">
        <f>CdTrp1!AY6*Troupeau!$B$17/CdTrp1!$AI$2</f>
        <v>0</v>
      </c>
      <c r="P19" s="277">
        <f>CdTrp1!AZ6*Troupeau!$B$17/CdTrp1!$AI$2</f>
        <v>0</v>
      </c>
      <c r="Q19" s="277">
        <f>CdTrp1!BA6*Troupeau!$B$17/CdTrp1!$AI$2</f>
        <v>0</v>
      </c>
      <c r="R19" s="277">
        <f>CdTrp1!BB6*Troupeau!$B$17/CdTrp1!$AI$2</f>
        <v>10.232558139534884</v>
      </c>
      <c r="S19" s="277">
        <f>CdTrp1!BC6*Troupeau!$B$17/CdTrp1!$AI$2</f>
        <v>10.232558139534884</v>
      </c>
      <c r="T19" s="277">
        <f>CdTrp1!BD6*Troupeau!$B$17/CdTrp1!$AI$2</f>
        <v>10.232558139534884</v>
      </c>
      <c r="U19" s="277">
        <f>CdTrp1!BE6*Troupeau!$B$17/CdTrp1!$AI$2</f>
        <v>10.232558139534884</v>
      </c>
      <c r="V19" s="277">
        <f>CdTrp1!BF6*Troupeau!$B$17/CdTrp1!$AI$2</f>
        <v>10.232558139534884</v>
      </c>
      <c r="W19" s="277">
        <f>CdTrp1!BG6*Troupeau!$B$17/CdTrp1!$AI$2</f>
        <v>10.232558139534884</v>
      </c>
      <c r="X19" s="277">
        <f>CdTrp1!BH6*Troupeau!$B$17/CdTrp1!$AI$2</f>
        <v>10.232558139534884</v>
      </c>
      <c r="Y19" s="277">
        <f>CdTrp1!BI6*Troupeau!$B$17/CdTrp1!$AI$2</f>
        <v>6.5116279069767442</v>
      </c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3264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3.3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4536</v>
      </c>
      <c r="AK23" s="54">
        <f t="shared" si="3"/>
        <v>0</v>
      </c>
      <c r="AL23" s="54">
        <f t="shared" si="4"/>
        <v>4.5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907.19999999999993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0.9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suitées au pâturage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 xml:space="preserve">Vaches lot principal 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0.85</v>
      </c>
      <c r="I28" s="60">
        <v>0.85</v>
      </c>
      <c r="J28" s="60">
        <v>0.85</v>
      </c>
      <c r="K28" s="60">
        <v>0.85</v>
      </c>
      <c r="L28" s="60">
        <v>0.85</v>
      </c>
      <c r="M28" s="60">
        <v>0.85</v>
      </c>
      <c r="N28" s="60">
        <v>0.85</v>
      </c>
      <c r="O28" s="60">
        <v>0.85</v>
      </c>
      <c r="P28" s="60">
        <v>0.85</v>
      </c>
      <c r="Q28" s="60">
        <v>0.85</v>
      </c>
      <c r="R28" s="60">
        <v>0.85</v>
      </c>
      <c r="S28" s="60">
        <v>0.85</v>
      </c>
      <c r="T28" s="60">
        <v>0.85</v>
      </c>
      <c r="U28" s="60">
        <v>0.85</v>
      </c>
      <c r="V28" s="60">
        <v>0.85</v>
      </c>
      <c r="W28" s="60">
        <v>1</v>
      </c>
      <c r="X28" s="60">
        <v>1</v>
      </c>
      <c r="Y28" s="60">
        <v>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renouvellement</v>
      </c>
      <c r="B29" s="60">
        <v>0.57727272727272727</v>
      </c>
      <c r="C29" s="60">
        <v>0.54230769230769227</v>
      </c>
      <c r="D29" s="60">
        <v>0.49705882352941172</v>
      </c>
      <c r="E29" s="60">
        <v>0.47499999999999998</v>
      </c>
      <c r="F29" s="60">
        <v>0.47499999999999998</v>
      </c>
      <c r="G29" s="60">
        <v>0.47499999999999998</v>
      </c>
      <c r="H29" s="60">
        <v>0.47499999999999998</v>
      </c>
      <c r="I29" s="60">
        <v>0.47499999999999998</v>
      </c>
      <c r="J29" s="60">
        <v>0.47499999999999998</v>
      </c>
      <c r="K29" s="60">
        <v>0.47499999999999998</v>
      </c>
      <c r="L29" s="60">
        <v>0.47499999999999998</v>
      </c>
      <c r="M29" s="60">
        <v>0.47499999999999998</v>
      </c>
      <c r="N29" s="60">
        <v>0.47499999999999998</v>
      </c>
      <c r="O29" s="60">
        <v>0.47499999999999998</v>
      </c>
      <c r="P29" s="60">
        <v>0.47499999999999998</v>
      </c>
      <c r="Q29" s="60">
        <v>0.47499999999999998</v>
      </c>
      <c r="R29" s="60">
        <v>0.48157894736842105</v>
      </c>
      <c r="S29" s="60">
        <v>0.48157894736842105</v>
      </c>
      <c r="T29" s="60">
        <v>0.49705882352941172</v>
      </c>
      <c r="U29" s="60">
        <v>0.51666666666666672</v>
      </c>
      <c r="V29" s="60">
        <v>0.54230769230769227</v>
      </c>
      <c r="W29" s="60">
        <v>0.57727272727272727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génisses 2/3 ans</v>
      </c>
      <c r="B30" s="60">
        <v>0.8</v>
      </c>
      <c r="C30" s="60">
        <v>0.8</v>
      </c>
      <c r="D30" s="60">
        <v>0.8</v>
      </c>
      <c r="E30" s="60">
        <v>0.8</v>
      </c>
      <c r="F30" s="60">
        <v>0.8</v>
      </c>
      <c r="G30" s="60">
        <v>0.8</v>
      </c>
      <c r="H30" s="60">
        <v>0.8</v>
      </c>
      <c r="I30" s="60">
        <v>0.8</v>
      </c>
      <c r="J30" s="60">
        <v>0.8</v>
      </c>
      <c r="K30" s="60">
        <v>0.8</v>
      </c>
      <c r="L30" s="60">
        <v>0.8</v>
      </c>
      <c r="M30" s="60">
        <v>0.8</v>
      </c>
      <c r="N30" s="60">
        <v>0.8</v>
      </c>
      <c r="O30" s="60">
        <v>0.8</v>
      </c>
      <c r="P30" s="60">
        <v>0.8</v>
      </c>
      <c r="Q30" s="60">
        <v>0.8</v>
      </c>
      <c r="R30" s="60">
        <v>0.8</v>
      </c>
      <c r="S30" s="60">
        <v>0.8</v>
      </c>
      <c r="T30" s="60">
        <v>0.8</v>
      </c>
      <c r="U30" s="60">
        <v>0.8</v>
      </c>
      <c r="V30" s="60">
        <v>0.8</v>
      </c>
      <c r="W30" s="60">
        <v>0.8</v>
      </c>
      <c r="X30" s="60">
        <v>0.8</v>
      </c>
      <c r="Y30" s="60">
        <v>0.8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</v>
      </c>
      <c r="B31" s="60">
        <v>0.85</v>
      </c>
      <c r="C31" s="60">
        <v>0.85</v>
      </c>
      <c r="D31" s="60">
        <v>0.85</v>
      </c>
      <c r="E31" s="60">
        <v>0.85</v>
      </c>
      <c r="F31" s="60">
        <v>0.85</v>
      </c>
      <c r="G31" s="60">
        <v>0.85</v>
      </c>
      <c r="H31" s="60">
        <v>0.85</v>
      </c>
      <c r="I31" s="60">
        <v>0.85</v>
      </c>
      <c r="J31" s="60">
        <v>0.85</v>
      </c>
      <c r="K31" s="60">
        <v>0.85</v>
      </c>
      <c r="L31" s="60">
        <v>0.85</v>
      </c>
      <c r="M31" s="60">
        <v>0.85</v>
      </c>
      <c r="N31" s="60">
        <v>0.85</v>
      </c>
      <c r="O31" s="60">
        <v>0.85</v>
      </c>
      <c r="P31" s="60">
        <v>0.85</v>
      </c>
      <c r="Q31" s="60">
        <v>0.85</v>
      </c>
      <c r="R31" s="60">
        <v>0.85</v>
      </c>
      <c r="S31" s="60">
        <v>0.85</v>
      </c>
      <c r="T31" s="60">
        <v>0.85</v>
      </c>
      <c r="U31" s="60">
        <v>0.85</v>
      </c>
      <c r="V31" s="60">
        <v>0.85</v>
      </c>
      <c r="W31" s="60">
        <v>0.85</v>
      </c>
      <c r="X31" s="60">
        <v>0.85</v>
      </c>
      <c r="Y31" s="60">
        <v>0.85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suitées au pâturage</v>
      </c>
      <c r="B39" s="61">
        <f>B15*B27</f>
        <v>0</v>
      </c>
      <c r="C39" s="61">
        <f t="shared" ref="C39:Y48" si="11">C15*C27</f>
        <v>0</v>
      </c>
      <c r="D39" s="61">
        <f t="shared" si="11"/>
        <v>0</v>
      </c>
      <c r="E39" s="61">
        <f t="shared" si="11"/>
        <v>0</v>
      </c>
      <c r="F39" s="61">
        <f t="shared" si="11"/>
        <v>0</v>
      </c>
      <c r="G39" s="61">
        <f t="shared" si="11"/>
        <v>0</v>
      </c>
      <c r="H39" s="61">
        <f t="shared" si="11"/>
        <v>13.953488372093023</v>
      </c>
      <c r="I39" s="61">
        <f t="shared" si="11"/>
        <v>12.093023255813954</v>
      </c>
      <c r="J39" s="61">
        <f t="shared" si="11"/>
        <v>7.441860465116279</v>
      </c>
      <c r="K39" s="61">
        <f t="shared" si="11"/>
        <v>3.7209302325581395</v>
      </c>
      <c r="L39" s="61">
        <f t="shared" si="11"/>
        <v>1.8604651162790697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 xml:space="preserve">Vaches lot principal </v>
      </c>
      <c r="B40" s="61">
        <f t="shared" ref="B40:Q48" si="12">B16*B28</f>
        <v>27.906976744186046</v>
      </c>
      <c r="C40" s="61">
        <f t="shared" si="12"/>
        <v>30.697674418604652</v>
      </c>
      <c r="D40" s="61">
        <f t="shared" si="12"/>
        <v>30.697674418604652</v>
      </c>
      <c r="E40" s="61">
        <f t="shared" si="12"/>
        <v>30.697674418604652</v>
      </c>
      <c r="F40" s="61">
        <f t="shared" si="12"/>
        <v>30.697674418604652</v>
      </c>
      <c r="G40" s="61">
        <f t="shared" si="12"/>
        <v>30.697674418604652</v>
      </c>
      <c r="H40" s="61">
        <f t="shared" si="12"/>
        <v>14.232558139534884</v>
      </c>
      <c r="I40" s="61">
        <f t="shared" si="12"/>
        <v>15.813953488372093</v>
      </c>
      <c r="J40" s="61">
        <f t="shared" si="12"/>
        <v>19.767441860465116</v>
      </c>
      <c r="K40" s="61">
        <f t="shared" si="12"/>
        <v>22.930232558139537</v>
      </c>
      <c r="L40" s="61">
        <f t="shared" si="12"/>
        <v>24.511627906976745</v>
      </c>
      <c r="M40" s="61">
        <f t="shared" si="12"/>
        <v>26.093023255813954</v>
      </c>
      <c r="N40" s="61">
        <f t="shared" si="12"/>
        <v>26.093023255813954</v>
      </c>
      <c r="O40" s="61">
        <f t="shared" si="12"/>
        <v>26.093023255813954</v>
      </c>
      <c r="P40" s="61">
        <f t="shared" si="12"/>
        <v>26.093023255813954</v>
      </c>
      <c r="Q40" s="61">
        <f t="shared" si="12"/>
        <v>25.302325581395348</v>
      </c>
      <c r="R40" s="61">
        <f t="shared" si="11"/>
        <v>16.604651162790695</v>
      </c>
      <c r="S40" s="61">
        <f t="shared" si="11"/>
        <v>16.604651162790695</v>
      </c>
      <c r="T40" s="61">
        <f t="shared" si="11"/>
        <v>16.604651162790695</v>
      </c>
      <c r="U40" s="61">
        <f t="shared" si="11"/>
        <v>17.395348837209301</v>
      </c>
      <c r="V40" s="61">
        <f t="shared" si="11"/>
        <v>17.395348837209301</v>
      </c>
      <c r="W40" s="61">
        <f t="shared" si="11"/>
        <v>21.395348837209301</v>
      </c>
      <c r="X40" s="61">
        <f t="shared" si="11"/>
        <v>21.395348837209301</v>
      </c>
      <c r="Y40" s="61">
        <f t="shared" si="11"/>
        <v>24.186046511627907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renouvellement</v>
      </c>
      <c r="B41" s="61">
        <f t="shared" si="12"/>
        <v>5.9069767441860463</v>
      </c>
      <c r="C41" s="61">
        <f t="shared" si="11"/>
        <v>6.5581395348837201</v>
      </c>
      <c r="D41" s="61">
        <f t="shared" si="11"/>
        <v>7.8604651162790686</v>
      </c>
      <c r="E41" s="61">
        <f t="shared" si="11"/>
        <v>8.8372093023255811</v>
      </c>
      <c r="F41" s="61">
        <f t="shared" si="11"/>
        <v>8.8372093023255811</v>
      </c>
      <c r="G41" s="61">
        <f t="shared" si="11"/>
        <v>8.8372093023255811</v>
      </c>
      <c r="H41" s="61">
        <f t="shared" si="11"/>
        <v>8.8372093023255811</v>
      </c>
      <c r="I41" s="61">
        <f t="shared" si="11"/>
        <v>8.8372093023255811</v>
      </c>
      <c r="J41" s="61">
        <f t="shared" si="11"/>
        <v>8.8372093023255811</v>
      </c>
      <c r="K41" s="61">
        <f t="shared" si="11"/>
        <v>8.8372093023255811</v>
      </c>
      <c r="L41" s="61">
        <f t="shared" si="11"/>
        <v>8.8372093023255811</v>
      </c>
      <c r="M41" s="61">
        <f t="shared" si="11"/>
        <v>8.8372093023255811</v>
      </c>
      <c r="N41" s="61">
        <f t="shared" si="11"/>
        <v>8.8372093023255811</v>
      </c>
      <c r="O41" s="61">
        <f t="shared" si="11"/>
        <v>8.8372093023255811</v>
      </c>
      <c r="P41" s="61">
        <f t="shared" si="11"/>
        <v>8.8372093023255811</v>
      </c>
      <c r="Q41" s="61">
        <f t="shared" si="11"/>
        <v>8.8372093023255811</v>
      </c>
      <c r="R41" s="61">
        <f t="shared" si="11"/>
        <v>8.5116279069767433</v>
      </c>
      <c r="S41" s="61">
        <f t="shared" si="11"/>
        <v>8.5116279069767433</v>
      </c>
      <c r="T41" s="61">
        <f t="shared" si="11"/>
        <v>7.8604651162790686</v>
      </c>
      <c r="U41" s="61">
        <f t="shared" si="11"/>
        <v>7.2093023255813957</v>
      </c>
      <c r="V41" s="61">
        <f t="shared" si="11"/>
        <v>6.5581395348837201</v>
      </c>
      <c r="W41" s="61">
        <f t="shared" si="11"/>
        <v>5.9069767441860463</v>
      </c>
      <c r="X41" s="61">
        <f t="shared" si="11"/>
        <v>5.5813953488372094</v>
      </c>
      <c r="Y41" s="61">
        <f t="shared" si="11"/>
        <v>5.5813953488372094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génisses 2/3 ans</v>
      </c>
      <c r="B42" s="61">
        <f t="shared" si="12"/>
        <v>7.4418604651162799</v>
      </c>
      <c r="C42" s="61">
        <f t="shared" si="11"/>
        <v>7.4418604651162799</v>
      </c>
      <c r="D42" s="61">
        <f t="shared" si="11"/>
        <v>7.4418604651162799</v>
      </c>
      <c r="E42" s="61">
        <f t="shared" si="11"/>
        <v>7.4418604651162799</v>
      </c>
      <c r="F42" s="61">
        <f t="shared" si="11"/>
        <v>7.4418604651162799</v>
      </c>
      <c r="G42" s="61">
        <f t="shared" si="11"/>
        <v>7.4418604651162799</v>
      </c>
      <c r="H42" s="61">
        <f t="shared" si="11"/>
        <v>7.4418604651162799</v>
      </c>
      <c r="I42" s="61">
        <f t="shared" si="11"/>
        <v>7.4418604651162799</v>
      </c>
      <c r="J42" s="61">
        <f t="shared" si="11"/>
        <v>7.4418604651162799</v>
      </c>
      <c r="K42" s="61">
        <f t="shared" si="11"/>
        <v>7.4418604651162799</v>
      </c>
      <c r="L42" s="61">
        <f t="shared" si="11"/>
        <v>7.4418604651162799</v>
      </c>
      <c r="M42" s="61">
        <f t="shared" si="11"/>
        <v>7.4418604651162799</v>
      </c>
      <c r="N42" s="61">
        <f t="shared" si="11"/>
        <v>7.4418604651162799</v>
      </c>
      <c r="O42" s="61">
        <f t="shared" si="11"/>
        <v>7.4418604651162799</v>
      </c>
      <c r="P42" s="61">
        <f t="shared" si="11"/>
        <v>7.4418604651162799</v>
      </c>
      <c r="Q42" s="61">
        <f t="shared" si="11"/>
        <v>7.4418604651162799</v>
      </c>
      <c r="R42" s="61">
        <f t="shared" si="11"/>
        <v>7.4418604651162799</v>
      </c>
      <c r="S42" s="61">
        <f t="shared" si="11"/>
        <v>7.4418604651162799</v>
      </c>
      <c r="T42" s="61">
        <f t="shared" si="11"/>
        <v>7.4418604651162799</v>
      </c>
      <c r="U42" s="61">
        <f t="shared" si="11"/>
        <v>7.4418604651162799</v>
      </c>
      <c r="V42" s="61">
        <f t="shared" si="11"/>
        <v>7.4418604651162799</v>
      </c>
      <c r="W42" s="61">
        <f t="shared" si="11"/>
        <v>7.4418604651162799</v>
      </c>
      <c r="X42" s="61">
        <f t="shared" si="11"/>
        <v>7.4418604651162799</v>
      </c>
      <c r="Y42" s="61">
        <f t="shared" si="11"/>
        <v>7.4418604651162799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</v>
      </c>
      <c r="B43" s="61">
        <f t="shared" si="12"/>
        <v>2.3720930232558142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8.6976744186046506</v>
      </c>
      <c r="S43" s="61">
        <f t="shared" si="11"/>
        <v>8.6976744186046506</v>
      </c>
      <c r="T43" s="61">
        <f t="shared" si="11"/>
        <v>8.6976744186046506</v>
      </c>
      <c r="U43" s="61">
        <f t="shared" si="11"/>
        <v>8.6976744186046506</v>
      </c>
      <c r="V43" s="61">
        <f t="shared" si="11"/>
        <v>8.6976744186046506</v>
      </c>
      <c r="W43" s="61">
        <f t="shared" si="11"/>
        <v>8.6976744186046506</v>
      </c>
      <c r="X43" s="61">
        <f t="shared" si="11"/>
        <v>8.6976744186046506</v>
      </c>
      <c r="Y43" s="61">
        <f t="shared" si="11"/>
        <v>5.5348837209302326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43.627906976744185</v>
      </c>
      <c r="C49" s="62">
        <f t="shared" ref="C49:Y49" si="13">SUM(C39:C48)</f>
        <v>44.697674418604649</v>
      </c>
      <c r="D49" s="62">
        <f t="shared" si="13"/>
        <v>46</v>
      </c>
      <c r="E49" s="62">
        <f t="shared" si="13"/>
        <v>46.97674418604651</v>
      </c>
      <c r="F49" s="62">
        <f t="shared" si="13"/>
        <v>46.97674418604651</v>
      </c>
      <c r="G49" s="62">
        <f t="shared" si="13"/>
        <v>46.97674418604651</v>
      </c>
      <c r="H49" s="62">
        <f t="shared" si="13"/>
        <v>44.465116279069768</v>
      </c>
      <c r="I49" s="62">
        <f t="shared" si="13"/>
        <v>44.186046511627907</v>
      </c>
      <c r="J49" s="62">
        <f t="shared" si="13"/>
        <v>43.488372093023251</v>
      </c>
      <c r="K49" s="62">
        <f t="shared" si="13"/>
        <v>42.930232558139537</v>
      </c>
      <c r="L49" s="62">
        <f t="shared" si="13"/>
        <v>42.651162790697676</v>
      </c>
      <c r="M49" s="62">
        <f t="shared" si="13"/>
        <v>42.372093023255815</v>
      </c>
      <c r="N49" s="62">
        <f t="shared" si="13"/>
        <v>42.372093023255815</v>
      </c>
      <c r="O49" s="62">
        <f t="shared" si="13"/>
        <v>42.372093023255815</v>
      </c>
      <c r="P49" s="62">
        <f t="shared" si="13"/>
        <v>42.372093023255815</v>
      </c>
      <c r="Q49" s="62">
        <f t="shared" si="13"/>
        <v>41.581395348837205</v>
      </c>
      <c r="R49" s="62">
        <f t="shared" si="13"/>
        <v>41.255813953488364</v>
      </c>
      <c r="S49" s="62">
        <f t="shared" si="13"/>
        <v>41.255813953488364</v>
      </c>
      <c r="T49" s="62">
        <f t="shared" si="13"/>
        <v>40.604651162790695</v>
      </c>
      <c r="U49" s="62">
        <f t="shared" si="13"/>
        <v>40.744186046511622</v>
      </c>
      <c r="V49" s="62">
        <f t="shared" si="13"/>
        <v>40.093023255813947</v>
      </c>
      <c r="W49" s="62">
        <f t="shared" si="13"/>
        <v>43.441860465116278</v>
      </c>
      <c r="X49" s="62">
        <f t="shared" si="13"/>
        <v>43.116279069767437</v>
      </c>
      <c r="Y49" s="62">
        <f t="shared" si="13"/>
        <v>42.744186046511629</v>
      </c>
      <c r="Z49" s="23"/>
      <c r="AA49" s="46">
        <f>AVERAGE(B49:Y49)</f>
        <v>43.220930232558139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suitées au pâturage</v>
      </c>
      <c r="B52" s="60">
        <v>99</v>
      </c>
      <c r="C52" s="60">
        <v>99</v>
      </c>
      <c r="D52" s="60">
        <v>99</v>
      </c>
      <c r="E52" s="60">
        <v>99</v>
      </c>
      <c r="F52" s="60">
        <v>99</v>
      </c>
      <c r="G52" s="60">
        <v>99</v>
      </c>
      <c r="H52" s="60">
        <v>1</v>
      </c>
      <c r="I52" s="60">
        <v>1</v>
      </c>
      <c r="J52" s="60">
        <v>1</v>
      </c>
      <c r="K52" s="60">
        <v>1</v>
      </c>
      <c r="L52" s="60">
        <v>99</v>
      </c>
      <c r="M52" s="60">
        <v>99</v>
      </c>
      <c r="N52" s="60">
        <v>99</v>
      </c>
      <c r="O52" s="60">
        <v>99</v>
      </c>
      <c r="P52" s="60">
        <v>99</v>
      </c>
      <c r="Q52" s="60">
        <v>99</v>
      </c>
      <c r="R52" s="60">
        <v>99</v>
      </c>
      <c r="S52" s="60">
        <v>99</v>
      </c>
      <c r="T52" s="60">
        <v>99</v>
      </c>
      <c r="U52" s="60">
        <v>99</v>
      </c>
      <c r="V52" s="60">
        <v>99</v>
      </c>
      <c r="W52" s="60">
        <v>99</v>
      </c>
      <c r="X52" s="60">
        <v>99</v>
      </c>
      <c r="Y52" s="60">
        <v>99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 xml:space="preserve">Vaches lot principal 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renouvellement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9.8000000000000007</v>
      </c>
      <c r="AL54" s="84">
        <f t="shared" si="16"/>
        <v>4.5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4.2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génisses 2/3 ans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60">
        <v>1</v>
      </c>
      <c r="R55" s="60">
        <v>1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1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1</v>
      </c>
      <c r="S56" s="60">
        <v>1</v>
      </c>
      <c r="T56" s="60">
        <v>1</v>
      </c>
      <c r="U56" s="60">
        <v>1</v>
      </c>
      <c r="V56" s="60">
        <v>1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92.53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suitées au pâturage</v>
      </c>
      <c r="B63" s="61">
        <f t="shared" ref="B63:Y63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209.30232558139534</v>
      </c>
      <c r="I63" s="61">
        <f t="shared" si="17"/>
        <v>181.3953488372093</v>
      </c>
      <c r="J63" s="61">
        <f t="shared" si="17"/>
        <v>115.34883720930232</v>
      </c>
      <c r="K63" s="61">
        <f t="shared" si="17"/>
        <v>57.674418604651159</v>
      </c>
      <c r="L63" s="61">
        <f t="shared" si="17"/>
        <v>2762.7906976744184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 xml:space="preserve">Vaches lot principal </v>
      </c>
      <c r="B64" s="61">
        <f t="shared" ref="B64:Y64" si="18">B40*B53*B$3</f>
        <v>432.55813953488371</v>
      </c>
      <c r="C64" s="61">
        <f t="shared" si="18"/>
        <v>475.81395348837214</v>
      </c>
      <c r="D64" s="61">
        <f t="shared" si="18"/>
        <v>429.76744186046511</v>
      </c>
      <c r="E64" s="61">
        <f t="shared" si="18"/>
        <v>429.76744186046511</v>
      </c>
      <c r="F64" s="61">
        <f t="shared" si="18"/>
        <v>475.81395348837214</v>
      </c>
      <c r="G64" s="61">
        <f t="shared" si="18"/>
        <v>475.81395348837214</v>
      </c>
      <c r="H64" s="61">
        <f t="shared" si="18"/>
        <v>213.48837209302326</v>
      </c>
      <c r="I64" s="61">
        <f t="shared" si="18"/>
        <v>237.2093023255814</v>
      </c>
      <c r="J64" s="61">
        <f t="shared" si="18"/>
        <v>306.39534883720927</v>
      </c>
      <c r="K64" s="61">
        <f t="shared" si="18"/>
        <v>355.41860465116281</v>
      </c>
      <c r="L64" s="61">
        <f t="shared" si="18"/>
        <v>367.67441860465118</v>
      </c>
      <c r="M64" s="61">
        <f t="shared" si="18"/>
        <v>391.39534883720933</v>
      </c>
      <c r="N64" s="61">
        <f t="shared" si="18"/>
        <v>404.44186046511629</v>
      </c>
      <c r="O64" s="61">
        <f t="shared" si="18"/>
        <v>404.44186046511629</v>
      </c>
      <c r="P64" s="61">
        <f t="shared" si="18"/>
        <v>404.44186046511629</v>
      </c>
      <c r="Q64" s="61">
        <f t="shared" si="18"/>
        <v>392.18604651162786</v>
      </c>
      <c r="R64" s="61">
        <f t="shared" si="18"/>
        <v>249.06976744186042</v>
      </c>
      <c r="S64" s="61">
        <f t="shared" si="18"/>
        <v>249.06976744186042</v>
      </c>
      <c r="T64" s="61">
        <f t="shared" si="18"/>
        <v>257.37209302325579</v>
      </c>
      <c r="U64" s="61">
        <f t="shared" si="18"/>
        <v>269.62790697674416</v>
      </c>
      <c r="V64" s="61">
        <f t="shared" si="18"/>
        <v>260.93023255813949</v>
      </c>
      <c r="W64" s="61">
        <f t="shared" si="18"/>
        <v>320.93023255813949</v>
      </c>
      <c r="X64" s="61">
        <f t="shared" si="18"/>
        <v>331.62790697674416</v>
      </c>
      <c r="Y64" s="61">
        <f t="shared" si="18"/>
        <v>374.88372093023258</v>
      </c>
      <c r="Z64" s="52"/>
      <c r="AE64" s="86"/>
    </row>
    <row r="65" spans="1:33" s="5" customFormat="1" hidden="1" x14ac:dyDescent="0.25">
      <c r="A65" s="38" t="str">
        <f>A$17</f>
        <v>Génisses renouvellement</v>
      </c>
      <c r="B65" s="61">
        <f t="shared" ref="B65:Y65" si="19">B41*B54*B$3</f>
        <v>91.558139534883722</v>
      </c>
      <c r="C65" s="61">
        <f t="shared" si="19"/>
        <v>101.65116279069767</v>
      </c>
      <c r="D65" s="61">
        <f t="shared" si="19"/>
        <v>110.04651162790697</v>
      </c>
      <c r="E65" s="61">
        <f t="shared" si="19"/>
        <v>123.72093023255813</v>
      </c>
      <c r="F65" s="61">
        <f t="shared" si="19"/>
        <v>136.97674418604652</v>
      </c>
      <c r="G65" s="61">
        <f t="shared" si="19"/>
        <v>136.97674418604652</v>
      </c>
      <c r="H65" s="61">
        <f t="shared" si="19"/>
        <v>132.55813953488371</v>
      </c>
      <c r="I65" s="61">
        <f t="shared" si="19"/>
        <v>132.55813953488371</v>
      </c>
      <c r="J65" s="61">
        <f t="shared" si="19"/>
        <v>136.97674418604652</v>
      </c>
      <c r="K65" s="61">
        <f t="shared" si="19"/>
        <v>136.97674418604652</v>
      </c>
      <c r="L65" s="61">
        <f t="shared" si="19"/>
        <v>132.55813953488371</v>
      </c>
      <c r="M65" s="61">
        <f t="shared" si="19"/>
        <v>132.55813953488371</v>
      </c>
      <c r="N65" s="61">
        <f t="shared" si="19"/>
        <v>136.97674418604652</v>
      </c>
      <c r="O65" s="61">
        <f t="shared" si="19"/>
        <v>136.97674418604652</v>
      </c>
      <c r="P65" s="61">
        <f t="shared" si="19"/>
        <v>136.97674418604652</v>
      </c>
      <c r="Q65" s="61">
        <f t="shared" si="19"/>
        <v>136.97674418604652</v>
      </c>
      <c r="R65" s="61">
        <f t="shared" si="19"/>
        <v>127.67441860465115</v>
      </c>
      <c r="S65" s="61">
        <f t="shared" si="19"/>
        <v>127.67441860465115</v>
      </c>
      <c r="T65" s="61">
        <f t="shared" si="19"/>
        <v>121.83720930232556</v>
      </c>
      <c r="U65" s="61">
        <f t="shared" si="19"/>
        <v>111.74418604651163</v>
      </c>
      <c r="V65" s="61">
        <f t="shared" si="19"/>
        <v>98.3720930232558</v>
      </c>
      <c r="W65" s="61">
        <f t="shared" si="19"/>
        <v>88.604651162790702</v>
      </c>
      <c r="X65" s="61">
        <f t="shared" si="19"/>
        <v>86.511627906976742</v>
      </c>
      <c r="Y65" s="61">
        <f t="shared" si="19"/>
        <v>86.511627906976742</v>
      </c>
      <c r="Z65" s="52"/>
      <c r="AE65" s="86"/>
    </row>
    <row r="66" spans="1:33" s="5" customFormat="1" hidden="1" x14ac:dyDescent="0.25">
      <c r="A66" s="38" t="str">
        <f>A$18</f>
        <v>génisses 2/3 ans</v>
      </c>
      <c r="B66" s="61">
        <f t="shared" ref="B66:Y66" si="20">B42*B55*B$3</f>
        <v>115.34883720930233</v>
      </c>
      <c r="C66" s="61">
        <f t="shared" si="20"/>
        <v>115.34883720930233</v>
      </c>
      <c r="D66" s="61">
        <f t="shared" si="20"/>
        <v>104.18604651162792</v>
      </c>
      <c r="E66" s="61">
        <f t="shared" si="20"/>
        <v>104.18604651162792</v>
      </c>
      <c r="F66" s="61">
        <f t="shared" si="20"/>
        <v>115.34883720930233</v>
      </c>
      <c r="G66" s="61">
        <f t="shared" si="20"/>
        <v>115.34883720930233</v>
      </c>
      <c r="H66" s="61">
        <f t="shared" si="20"/>
        <v>111.6279069767442</v>
      </c>
      <c r="I66" s="61">
        <f t="shared" si="20"/>
        <v>111.6279069767442</v>
      </c>
      <c r="J66" s="61">
        <f t="shared" si="20"/>
        <v>115.34883720930233</v>
      </c>
      <c r="K66" s="61">
        <f t="shared" si="20"/>
        <v>115.34883720930233</v>
      </c>
      <c r="L66" s="61">
        <f t="shared" si="20"/>
        <v>111.6279069767442</v>
      </c>
      <c r="M66" s="61">
        <f t="shared" si="20"/>
        <v>111.6279069767442</v>
      </c>
      <c r="N66" s="61">
        <f t="shared" si="20"/>
        <v>115.34883720930233</v>
      </c>
      <c r="O66" s="61">
        <f t="shared" si="20"/>
        <v>115.34883720930233</v>
      </c>
      <c r="P66" s="61">
        <f t="shared" si="20"/>
        <v>115.34883720930233</v>
      </c>
      <c r="Q66" s="61">
        <f t="shared" si="20"/>
        <v>115.34883720930233</v>
      </c>
      <c r="R66" s="61">
        <f t="shared" si="20"/>
        <v>111.6279069767442</v>
      </c>
      <c r="S66" s="61">
        <f t="shared" si="20"/>
        <v>111.6279069767442</v>
      </c>
      <c r="T66" s="61">
        <f t="shared" si="20"/>
        <v>115.34883720930233</v>
      </c>
      <c r="U66" s="61">
        <f t="shared" si="20"/>
        <v>115.34883720930233</v>
      </c>
      <c r="V66" s="61">
        <f t="shared" si="20"/>
        <v>111.6279069767442</v>
      </c>
      <c r="W66" s="61">
        <f t="shared" si="20"/>
        <v>111.6279069767442</v>
      </c>
      <c r="X66" s="61">
        <f t="shared" si="20"/>
        <v>115.34883720930233</v>
      </c>
      <c r="Y66" s="61">
        <f t="shared" si="20"/>
        <v>115.34883720930233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1">B43*B56*B$3</f>
        <v>36.767441860465119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130.46511627906975</v>
      </c>
      <c r="S67" s="61">
        <f t="shared" si="21"/>
        <v>130.46511627906975</v>
      </c>
      <c r="T67" s="61">
        <f t="shared" si="21"/>
        <v>134.81395348837208</v>
      </c>
      <c r="U67" s="61">
        <f t="shared" si="21"/>
        <v>134.81395348837208</v>
      </c>
      <c r="V67" s="61">
        <f t="shared" si="21"/>
        <v>130.46511627906975</v>
      </c>
      <c r="W67" s="61">
        <f t="shared" si="21"/>
        <v>130.46511627906975</v>
      </c>
      <c r="X67" s="61">
        <f t="shared" si="21"/>
        <v>134.81395348837208</v>
      </c>
      <c r="Y67" s="61">
        <f t="shared" si="21"/>
        <v>85.79069767441861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676</v>
      </c>
      <c r="C73" s="64">
        <f t="shared" ref="C73:Y73" si="27">ROUND(SUM(C63:C72),0)</f>
        <v>693</v>
      </c>
      <c r="D73" s="64">
        <f t="shared" si="27"/>
        <v>644</v>
      </c>
      <c r="E73" s="64">
        <f t="shared" si="27"/>
        <v>658</v>
      </c>
      <c r="F73" s="64">
        <f t="shared" si="27"/>
        <v>728</v>
      </c>
      <c r="G73" s="64">
        <f t="shared" si="27"/>
        <v>728</v>
      </c>
      <c r="H73" s="64">
        <f t="shared" si="27"/>
        <v>667</v>
      </c>
      <c r="I73" s="64">
        <f t="shared" si="27"/>
        <v>663</v>
      </c>
      <c r="J73" s="64">
        <f t="shared" si="27"/>
        <v>674</v>
      </c>
      <c r="K73" s="64">
        <f t="shared" si="27"/>
        <v>665</v>
      </c>
      <c r="L73" s="64">
        <f t="shared" si="27"/>
        <v>3375</v>
      </c>
      <c r="M73" s="64">
        <f t="shared" si="27"/>
        <v>636</v>
      </c>
      <c r="N73" s="64">
        <f t="shared" si="27"/>
        <v>657</v>
      </c>
      <c r="O73" s="64">
        <f t="shared" si="27"/>
        <v>657</v>
      </c>
      <c r="P73" s="64">
        <f t="shared" si="27"/>
        <v>657</v>
      </c>
      <c r="Q73" s="64">
        <f t="shared" si="27"/>
        <v>645</v>
      </c>
      <c r="R73" s="64">
        <f t="shared" si="27"/>
        <v>619</v>
      </c>
      <c r="S73" s="64">
        <f t="shared" si="27"/>
        <v>619</v>
      </c>
      <c r="T73" s="64">
        <f t="shared" si="27"/>
        <v>629</v>
      </c>
      <c r="U73" s="64">
        <f t="shared" si="27"/>
        <v>632</v>
      </c>
      <c r="V73" s="64">
        <f t="shared" si="27"/>
        <v>601</v>
      </c>
      <c r="W73" s="64">
        <f t="shared" si="27"/>
        <v>652</v>
      </c>
      <c r="X73" s="64">
        <f t="shared" si="27"/>
        <v>668</v>
      </c>
      <c r="Y73" s="64">
        <f t="shared" si="27"/>
        <v>663</v>
      </c>
      <c r="Z73" s="52"/>
      <c r="AA73" s="56">
        <f>ROUND(SUM(B73:Y73),0)</f>
        <v>18506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478</v>
      </c>
      <c r="AG75" s="5"/>
    </row>
    <row r="76" spans="1:33" x14ac:dyDescent="0.25">
      <c r="A76" s="127" t="str">
        <f>A$15</f>
        <v>Vaches suitées au pâturage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C76" t="s">
        <v>440</v>
      </c>
      <c r="AD76" t="s">
        <v>441</v>
      </c>
      <c r="AG76" s="5"/>
    </row>
    <row r="77" spans="1:33" x14ac:dyDescent="0.25">
      <c r="A77" s="128" t="str">
        <f>A$16</f>
        <v xml:space="preserve">Vaches lot principal 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Génisses renouvellement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A78" t="s">
        <v>442</v>
      </c>
      <c r="AB78">
        <v>1</v>
      </c>
      <c r="AC78">
        <f>COUNTIF($B$76:$Y$85,AB78)/2</f>
        <v>0</v>
      </c>
      <c r="AD78" s="156" t="e">
        <f>AC78/$AC$77</f>
        <v>#DIV/0!</v>
      </c>
      <c r="AG78" s="5"/>
    </row>
    <row r="79" spans="1:33" x14ac:dyDescent="0.25">
      <c r="A79" s="127" t="str">
        <f>A$18</f>
        <v>génisses 2/3 ans</v>
      </c>
      <c r="B79" s="60"/>
      <c r="C79" s="60"/>
      <c r="D79" s="60"/>
      <c r="E79" s="60"/>
      <c r="F79" s="60"/>
      <c r="G79" s="60"/>
      <c r="H79" s="157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A79" t="s">
        <v>443</v>
      </c>
      <c r="AB79">
        <v>2</v>
      </c>
      <c r="AC79">
        <f t="shared" ref="AC79:AC81" si="28">COUNTIF($B$76:$Y$85,AB79)/2</f>
        <v>0</v>
      </c>
      <c r="AD79" s="156" t="e">
        <f t="shared" ref="AD79:AD81" si="29">AC79/$AC$77</f>
        <v>#DIV/0!</v>
      </c>
      <c r="AG79" s="5"/>
    </row>
    <row r="80" spans="1:33" x14ac:dyDescent="0.25">
      <c r="A80" s="128" t="str">
        <f>A$19</f>
        <v>tardive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157"/>
      <c r="T80" s="157"/>
      <c r="U80" s="60"/>
      <c r="V80" s="60"/>
      <c r="W80" s="60"/>
      <c r="X80" s="60"/>
      <c r="Y80" s="60"/>
      <c r="AA80" t="s">
        <v>444</v>
      </c>
      <c r="AB80">
        <v>3</v>
      </c>
      <c r="AC80">
        <f t="shared" si="28"/>
        <v>0</v>
      </c>
      <c r="AD80" s="156" t="e">
        <f t="shared" si="29"/>
        <v>#DIV/0!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A81" t="s">
        <v>445</v>
      </c>
      <c r="AB81">
        <v>4</v>
      </c>
      <c r="AC81">
        <f t="shared" si="28"/>
        <v>0</v>
      </c>
      <c r="AD81" s="156" t="e">
        <f t="shared" si="29"/>
        <v>#DIV/0!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suitées au pâturage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 xml:space="preserve">Vaches lot principal 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2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3</v>
      </c>
      <c r="Q89" s="60">
        <v>3</v>
      </c>
      <c r="R89" s="158">
        <v>2</v>
      </c>
      <c r="S89" s="158">
        <v>2</v>
      </c>
      <c r="T89" s="158">
        <v>2</v>
      </c>
      <c r="U89" s="158">
        <v>4</v>
      </c>
      <c r="V89" s="158">
        <v>4</v>
      </c>
      <c r="W89" s="158">
        <v>4</v>
      </c>
      <c r="X89" s="158">
        <v>4</v>
      </c>
      <c r="Y89" s="158">
        <v>4</v>
      </c>
    </row>
    <row r="90" spans="1:33" x14ac:dyDescent="0.25">
      <c r="A90" s="128" t="str">
        <f>A$17</f>
        <v>Génisses renouvellement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génisses 2/3 ans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suitées au pâturage</v>
      </c>
      <c r="B99" s="61">
        <f>VLOOKUP(B88,$AD$6:$AF$10,3)</f>
        <v>14</v>
      </c>
      <c r="C99" s="61">
        <f t="shared" ref="C99:X99" si="30">VLOOKUP(C88,$AD$6:$AF$10,3)</f>
        <v>14</v>
      </c>
      <c r="D99" s="61">
        <f t="shared" si="30"/>
        <v>14</v>
      </c>
      <c r="E99" s="61">
        <f t="shared" si="30"/>
        <v>14</v>
      </c>
      <c r="F99" s="61">
        <f t="shared" si="30"/>
        <v>14</v>
      </c>
      <c r="G99" s="61">
        <f t="shared" si="30"/>
        <v>14</v>
      </c>
      <c r="H99" s="61">
        <f t="shared" si="30"/>
        <v>14</v>
      </c>
      <c r="I99" s="61">
        <f t="shared" si="30"/>
        <v>14</v>
      </c>
      <c r="J99" s="61">
        <f t="shared" si="30"/>
        <v>14</v>
      </c>
      <c r="K99" s="61">
        <f t="shared" si="30"/>
        <v>14</v>
      </c>
      <c r="L99" s="61">
        <f t="shared" si="30"/>
        <v>14</v>
      </c>
      <c r="M99" s="61">
        <f t="shared" si="30"/>
        <v>14</v>
      </c>
      <c r="N99" s="61">
        <f t="shared" si="30"/>
        <v>14</v>
      </c>
      <c r="O99" s="61">
        <f t="shared" si="30"/>
        <v>14</v>
      </c>
      <c r="P99" s="61">
        <f t="shared" si="30"/>
        <v>14</v>
      </c>
      <c r="Q99" s="61">
        <f t="shared" si="30"/>
        <v>14</v>
      </c>
      <c r="R99" s="61">
        <f t="shared" si="30"/>
        <v>14</v>
      </c>
      <c r="S99" s="61">
        <f t="shared" si="30"/>
        <v>14</v>
      </c>
      <c r="T99" s="61">
        <f t="shared" si="30"/>
        <v>14</v>
      </c>
      <c r="U99" s="61">
        <f t="shared" si="30"/>
        <v>14</v>
      </c>
      <c r="V99" s="61">
        <f t="shared" si="30"/>
        <v>14</v>
      </c>
      <c r="W99" s="61">
        <f t="shared" si="30"/>
        <v>14</v>
      </c>
      <c r="X99" s="61">
        <f t="shared" si="30"/>
        <v>14</v>
      </c>
      <c r="Y99" s="61">
        <f>VLOOKUP(Y88,$AD$6:$AF$10,3)</f>
        <v>14</v>
      </c>
    </row>
    <row r="100" spans="1:33" x14ac:dyDescent="0.25">
      <c r="A100" s="128" t="str">
        <f>A$16</f>
        <v xml:space="preserve">Vaches lot principal </v>
      </c>
      <c r="B100" s="61">
        <f t="shared" ref="B100:Y100" si="31">VLOOKUP(B89,$AD$6:$AF$10,3)</f>
        <v>10.8</v>
      </c>
      <c r="C100" s="61">
        <f t="shared" si="31"/>
        <v>10.8</v>
      </c>
      <c r="D100" s="61">
        <f t="shared" si="31"/>
        <v>10.8</v>
      </c>
      <c r="E100" s="61">
        <f t="shared" si="31"/>
        <v>10.8</v>
      </c>
      <c r="F100" s="61">
        <f t="shared" si="31"/>
        <v>10.8</v>
      </c>
      <c r="G100" s="61">
        <f t="shared" si="31"/>
        <v>14</v>
      </c>
      <c r="H100" s="61">
        <f t="shared" si="31"/>
        <v>12.25</v>
      </c>
      <c r="I100" s="61">
        <f t="shared" si="31"/>
        <v>12.25</v>
      </c>
      <c r="J100" s="61">
        <f t="shared" si="31"/>
        <v>12.25</v>
      </c>
      <c r="K100" s="61">
        <f t="shared" si="31"/>
        <v>12.25</v>
      </c>
      <c r="L100" s="61">
        <f t="shared" si="31"/>
        <v>12.25</v>
      </c>
      <c r="M100" s="61">
        <f t="shared" si="31"/>
        <v>12.25</v>
      </c>
      <c r="N100" s="61">
        <f t="shared" si="31"/>
        <v>12.25</v>
      </c>
      <c r="O100" s="61">
        <f t="shared" si="31"/>
        <v>12.25</v>
      </c>
      <c r="P100" s="61">
        <f t="shared" si="31"/>
        <v>11</v>
      </c>
      <c r="Q100" s="61">
        <f t="shared" si="31"/>
        <v>11</v>
      </c>
      <c r="R100" s="61">
        <f t="shared" si="31"/>
        <v>14</v>
      </c>
      <c r="S100" s="61">
        <f t="shared" si="31"/>
        <v>14</v>
      </c>
      <c r="T100" s="61">
        <f t="shared" si="31"/>
        <v>14</v>
      </c>
      <c r="U100" s="61">
        <f t="shared" si="31"/>
        <v>10.8</v>
      </c>
      <c r="V100" s="61">
        <f t="shared" si="31"/>
        <v>10.8</v>
      </c>
      <c r="W100" s="61">
        <f t="shared" si="31"/>
        <v>10.8</v>
      </c>
      <c r="X100" s="61">
        <f t="shared" si="31"/>
        <v>10.8</v>
      </c>
      <c r="Y100" s="61">
        <f t="shared" si="31"/>
        <v>10.8</v>
      </c>
    </row>
    <row r="101" spans="1:33" x14ac:dyDescent="0.25">
      <c r="A101" s="128" t="str">
        <f>A$17</f>
        <v>Génisses renouvellement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génisses 2/3 ans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tardive</v>
      </c>
      <c r="B103" s="61">
        <f t="shared" ref="B103:Y103" si="34">VLOOKUP(B92,$AD$6:$AF$10,3)</f>
        <v>12.25</v>
      </c>
      <c r="C103" s="61">
        <f t="shared" si="34"/>
        <v>12.25</v>
      </c>
      <c r="D103" s="61">
        <f t="shared" si="34"/>
        <v>12.25</v>
      </c>
      <c r="E103" s="61">
        <f t="shared" si="34"/>
        <v>12.25</v>
      </c>
      <c r="F103" s="61">
        <f t="shared" si="34"/>
        <v>12.25</v>
      </c>
      <c r="G103" s="61">
        <f t="shared" si="34"/>
        <v>12.25</v>
      </c>
      <c r="H103" s="61">
        <f t="shared" si="34"/>
        <v>12.25</v>
      </c>
      <c r="I103" s="61">
        <f t="shared" si="34"/>
        <v>12.25</v>
      </c>
      <c r="J103" s="61">
        <f t="shared" si="34"/>
        <v>12.25</v>
      </c>
      <c r="K103" s="61">
        <f t="shared" si="34"/>
        <v>12.25</v>
      </c>
      <c r="L103" s="61">
        <f t="shared" si="34"/>
        <v>12.25</v>
      </c>
      <c r="M103" s="61">
        <f t="shared" si="34"/>
        <v>12.25</v>
      </c>
      <c r="N103" s="61">
        <f t="shared" si="34"/>
        <v>12.25</v>
      </c>
      <c r="O103" s="61">
        <f t="shared" si="34"/>
        <v>12.25</v>
      </c>
      <c r="P103" s="61">
        <f t="shared" si="34"/>
        <v>12.25</v>
      </c>
      <c r="Q103" s="61">
        <f t="shared" si="34"/>
        <v>12.25</v>
      </c>
      <c r="R103" s="61">
        <f t="shared" si="34"/>
        <v>12.25</v>
      </c>
      <c r="S103" s="61">
        <f t="shared" si="34"/>
        <v>12.25</v>
      </c>
      <c r="T103" s="61">
        <f t="shared" si="34"/>
        <v>12.25</v>
      </c>
      <c r="U103" s="61">
        <f t="shared" si="34"/>
        <v>12.25</v>
      </c>
      <c r="V103" s="61">
        <f t="shared" si="34"/>
        <v>12.25</v>
      </c>
      <c r="W103" s="61">
        <f t="shared" si="34"/>
        <v>12.25</v>
      </c>
      <c r="X103" s="61">
        <f t="shared" si="34"/>
        <v>12.25</v>
      </c>
      <c r="Y103" s="61">
        <f t="shared" si="34"/>
        <v>12.25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12.25</v>
      </c>
      <c r="C104" s="61">
        <f t="shared" si="35"/>
        <v>12.25</v>
      </c>
      <c r="D104" s="61">
        <f t="shared" si="35"/>
        <v>12.25</v>
      </c>
      <c r="E104" s="61">
        <f t="shared" si="35"/>
        <v>12.25</v>
      </c>
      <c r="F104" s="61">
        <f t="shared" si="35"/>
        <v>12.25</v>
      </c>
      <c r="G104" s="61">
        <f t="shared" si="35"/>
        <v>12.25</v>
      </c>
      <c r="H104" s="61">
        <f t="shared" si="35"/>
        <v>12.25</v>
      </c>
      <c r="I104" s="61">
        <f t="shared" si="35"/>
        <v>12.25</v>
      </c>
      <c r="J104" s="61">
        <f t="shared" si="35"/>
        <v>12.25</v>
      </c>
      <c r="K104" s="61">
        <f t="shared" si="35"/>
        <v>12.25</v>
      </c>
      <c r="L104" s="61">
        <f t="shared" si="35"/>
        <v>12.25</v>
      </c>
      <c r="M104" s="61">
        <f t="shared" si="35"/>
        <v>12.25</v>
      </c>
      <c r="N104" s="61">
        <f t="shared" si="35"/>
        <v>12.25</v>
      </c>
      <c r="O104" s="61">
        <f t="shared" si="35"/>
        <v>12.25</v>
      </c>
      <c r="P104" s="61">
        <f t="shared" si="35"/>
        <v>12.25</v>
      </c>
      <c r="Q104" s="61">
        <f t="shared" si="35"/>
        <v>12.25</v>
      </c>
      <c r="R104" s="61">
        <f t="shared" si="35"/>
        <v>12.25</v>
      </c>
      <c r="S104" s="61">
        <f t="shared" si="35"/>
        <v>12.25</v>
      </c>
      <c r="T104" s="61">
        <f t="shared" si="35"/>
        <v>12.25</v>
      </c>
      <c r="U104" s="61">
        <f t="shared" si="35"/>
        <v>12.25</v>
      </c>
      <c r="V104" s="61">
        <f t="shared" si="35"/>
        <v>12.25</v>
      </c>
      <c r="W104" s="61">
        <f t="shared" si="35"/>
        <v>12.25</v>
      </c>
      <c r="X104" s="61">
        <f t="shared" si="35"/>
        <v>12.25</v>
      </c>
      <c r="Y104" s="61">
        <f t="shared" si="35"/>
        <v>12.25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12.25</v>
      </c>
      <c r="C105" s="61">
        <f t="shared" si="36"/>
        <v>12.25</v>
      </c>
      <c r="D105" s="61">
        <f t="shared" si="36"/>
        <v>12.25</v>
      </c>
      <c r="E105" s="61">
        <f t="shared" si="36"/>
        <v>12.25</v>
      </c>
      <c r="F105" s="61">
        <f t="shared" si="36"/>
        <v>12.25</v>
      </c>
      <c r="G105" s="61">
        <f t="shared" si="36"/>
        <v>12.25</v>
      </c>
      <c r="H105" s="61">
        <f t="shared" si="36"/>
        <v>12.25</v>
      </c>
      <c r="I105" s="61">
        <f t="shared" si="36"/>
        <v>12.25</v>
      </c>
      <c r="J105" s="61">
        <f t="shared" si="36"/>
        <v>12.25</v>
      </c>
      <c r="K105" s="61">
        <f t="shared" si="36"/>
        <v>12.25</v>
      </c>
      <c r="L105" s="61">
        <f t="shared" si="36"/>
        <v>12.25</v>
      </c>
      <c r="M105" s="61">
        <f t="shared" si="36"/>
        <v>12.25</v>
      </c>
      <c r="N105" s="61">
        <f t="shared" si="36"/>
        <v>12.25</v>
      </c>
      <c r="O105" s="61">
        <f t="shared" si="36"/>
        <v>12.25</v>
      </c>
      <c r="P105" s="61">
        <f t="shared" si="36"/>
        <v>12.25</v>
      </c>
      <c r="Q105" s="61">
        <f t="shared" si="36"/>
        <v>12.25</v>
      </c>
      <c r="R105" s="61">
        <f t="shared" si="36"/>
        <v>12.25</v>
      </c>
      <c r="S105" s="61">
        <f t="shared" si="36"/>
        <v>12.25</v>
      </c>
      <c r="T105" s="61">
        <f t="shared" si="36"/>
        <v>12.25</v>
      </c>
      <c r="U105" s="61">
        <f t="shared" si="36"/>
        <v>12.25</v>
      </c>
      <c r="V105" s="61">
        <f t="shared" si="36"/>
        <v>12.25</v>
      </c>
      <c r="W105" s="61">
        <f t="shared" si="36"/>
        <v>12.25</v>
      </c>
      <c r="X105" s="61">
        <f t="shared" si="36"/>
        <v>12.25</v>
      </c>
      <c r="Y105" s="61">
        <f t="shared" si="36"/>
        <v>12.25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12.25</v>
      </c>
      <c r="C106" s="61">
        <f t="shared" si="37"/>
        <v>12.25</v>
      </c>
      <c r="D106" s="61">
        <f t="shared" si="37"/>
        <v>12.25</v>
      </c>
      <c r="E106" s="61">
        <f t="shared" si="37"/>
        <v>12.25</v>
      </c>
      <c r="F106" s="61">
        <f t="shared" si="37"/>
        <v>12.25</v>
      </c>
      <c r="G106" s="61">
        <f t="shared" si="37"/>
        <v>12.25</v>
      </c>
      <c r="H106" s="61">
        <f t="shared" si="37"/>
        <v>12.25</v>
      </c>
      <c r="I106" s="61">
        <f t="shared" si="37"/>
        <v>12.25</v>
      </c>
      <c r="J106" s="61">
        <f t="shared" si="37"/>
        <v>12.25</v>
      </c>
      <c r="K106" s="61">
        <f t="shared" si="37"/>
        <v>12.25</v>
      </c>
      <c r="L106" s="61">
        <f t="shared" si="37"/>
        <v>12.25</v>
      </c>
      <c r="M106" s="61">
        <f t="shared" si="37"/>
        <v>12.25</v>
      </c>
      <c r="N106" s="61">
        <f t="shared" si="37"/>
        <v>12.25</v>
      </c>
      <c r="O106" s="61">
        <f t="shared" si="37"/>
        <v>12.25</v>
      </c>
      <c r="P106" s="61">
        <f t="shared" si="37"/>
        <v>12.25</v>
      </c>
      <c r="Q106" s="61">
        <f t="shared" si="37"/>
        <v>12.25</v>
      </c>
      <c r="R106" s="61">
        <f t="shared" si="37"/>
        <v>12.25</v>
      </c>
      <c r="S106" s="61">
        <f t="shared" si="37"/>
        <v>12.25</v>
      </c>
      <c r="T106" s="61">
        <f t="shared" si="37"/>
        <v>12.25</v>
      </c>
      <c r="U106" s="61">
        <f t="shared" si="37"/>
        <v>12.25</v>
      </c>
      <c r="V106" s="61">
        <f t="shared" si="37"/>
        <v>12.25</v>
      </c>
      <c r="W106" s="61">
        <f t="shared" si="37"/>
        <v>12.25</v>
      </c>
      <c r="X106" s="61">
        <f t="shared" si="37"/>
        <v>12.25</v>
      </c>
      <c r="Y106" s="61">
        <f t="shared" si="37"/>
        <v>12.25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12.25</v>
      </c>
      <c r="C107" s="61">
        <f t="shared" si="38"/>
        <v>12.25</v>
      </c>
      <c r="D107" s="61">
        <f t="shared" si="38"/>
        <v>12.25</v>
      </c>
      <c r="E107" s="61">
        <f t="shared" si="38"/>
        <v>12.25</v>
      </c>
      <c r="F107" s="61">
        <f t="shared" si="38"/>
        <v>12.25</v>
      </c>
      <c r="G107" s="61">
        <f t="shared" si="38"/>
        <v>12.25</v>
      </c>
      <c r="H107" s="61">
        <f t="shared" si="38"/>
        <v>12.25</v>
      </c>
      <c r="I107" s="61">
        <f t="shared" si="38"/>
        <v>12.25</v>
      </c>
      <c r="J107" s="61">
        <f t="shared" si="38"/>
        <v>12.25</v>
      </c>
      <c r="K107" s="61">
        <f t="shared" si="38"/>
        <v>12.25</v>
      </c>
      <c r="L107" s="61">
        <f t="shared" si="38"/>
        <v>12.25</v>
      </c>
      <c r="M107" s="61">
        <f t="shared" si="38"/>
        <v>12.25</v>
      </c>
      <c r="N107" s="61">
        <f t="shared" si="38"/>
        <v>12.25</v>
      </c>
      <c r="O107" s="61">
        <f t="shared" si="38"/>
        <v>12.25</v>
      </c>
      <c r="P107" s="61">
        <f t="shared" si="38"/>
        <v>12.25</v>
      </c>
      <c r="Q107" s="61">
        <f t="shared" si="38"/>
        <v>12.25</v>
      </c>
      <c r="R107" s="61">
        <f t="shared" si="38"/>
        <v>12.25</v>
      </c>
      <c r="S107" s="61">
        <f t="shared" si="38"/>
        <v>12.25</v>
      </c>
      <c r="T107" s="61">
        <f t="shared" si="38"/>
        <v>12.25</v>
      </c>
      <c r="U107" s="61">
        <f t="shared" si="38"/>
        <v>12.25</v>
      </c>
      <c r="V107" s="61">
        <f t="shared" si="38"/>
        <v>12.25</v>
      </c>
      <c r="W107" s="61">
        <f t="shared" si="38"/>
        <v>12.25</v>
      </c>
      <c r="X107" s="61">
        <f t="shared" si="38"/>
        <v>12.25</v>
      </c>
      <c r="Y107" s="61">
        <f t="shared" si="38"/>
        <v>12.25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12.25</v>
      </c>
      <c r="C108" s="61">
        <f t="shared" si="39"/>
        <v>12.25</v>
      </c>
      <c r="D108" s="61">
        <f t="shared" si="39"/>
        <v>12.25</v>
      </c>
      <c r="E108" s="61">
        <f t="shared" si="39"/>
        <v>12.25</v>
      </c>
      <c r="F108" s="61">
        <f t="shared" si="39"/>
        <v>12.25</v>
      </c>
      <c r="G108" s="61">
        <f t="shared" si="39"/>
        <v>12.25</v>
      </c>
      <c r="H108" s="61">
        <f t="shared" si="39"/>
        <v>12.25</v>
      </c>
      <c r="I108" s="61">
        <f t="shared" si="39"/>
        <v>12.25</v>
      </c>
      <c r="J108" s="61">
        <f t="shared" si="39"/>
        <v>12.25</v>
      </c>
      <c r="K108" s="61">
        <f t="shared" si="39"/>
        <v>12.25</v>
      </c>
      <c r="L108" s="61">
        <f t="shared" si="39"/>
        <v>12.25</v>
      </c>
      <c r="M108" s="61">
        <f t="shared" si="39"/>
        <v>12.25</v>
      </c>
      <c r="N108" s="61">
        <f t="shared" si="39"/>
        <v>12.25</v>
      </c>
      <c r="O108" s="61">
        <f t="shared" si="39"/>
        <v>12.25</v>
      </c>
      <c r="P108" s="61">
        <f t="shared" si="39"/>
        <v>12.25</v>
      </c>
      <c r="Q108" s="61">
        <f t="shared" si="39"/>
        <v>12.25</v>
      </c>
      <c r="R108" s="61">
        <f t="shared" si="39"/>
        <v>12.25</v>
      </c>
      <c r="S108" s="61">
        <f t="shared" si="39"/>
        <v>12.25</v>
      </c>
      <c r="T108" s="61">
        <f t="shared" si="39"/>
        <v>12.25</v>
      </c>
      <c r="U108" s="61">
        <f t="shared" si="39"/>
        <v>12.25</v>
      </c>
      <c r="V108" s="61">
        <f t="shared" si="39"/>
        <v>12.25</v>
      </c>
      <c r="W108" s="61">
        <f t="shared" si="39"/>
        <v>12.25</v>
      </c>
      <c r="X108" s="61">
        <f t="shared" si="39"/>
        <v>12.25</v>
      </c>
      <c r="Y108" s="61">
        <f t="shared" si="39"/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suitées au pâturage</v>
      </c>
      <c r="B110" s="61">
        <f t="shared" ref="B110:Y110" si="40">(B39*B$3*B99)/1000</f>
        <v>0</v>
      </c>
      <c r="C110" s="61">
        <f t="shared" si="40"/>
        <v>0</v>
      </c>
      <c r="D110" s="61">
        <f t="shared" si="40"/>
        <v>0</v>
      </c>
      <c r="E110" s="61">
        <f t="shared" si="40"/>
        <v>0</v>
      </c>
      <c r="F110" s="61">
        <f t="shared" si="40"/>
        <v>0</v>
      </c>
      <c r="G110" s="61">
        <f t="shared" si="40"/>
        <v>0</v>
      </c>
      <c r="H110" s="61">
        <f t="shared" si="40"/>
        <v>2.9302325581395348</v>
      </c>
      <c r="I110" s="61">
        <f t="shared" si="40"/>
        <v>2.5395348837209304</v>
      </c>
      <c r="J110" s="61">
        <f t="shared" si="40"/>
        <v>1.6148837209302322</v>
      </c>
      <c r="K110" s="61">
        <f t="shared" si="40"/>
        <v>0.80744186046511612</v>
      </c>
      <c r="L110" s="61">
        <f t="shared" si="40"/>
        <v>0.39069767441860465</v>
      </c>
      <c r="M110" s="61">
        <f t="shared" si="40"/>
        <v>0</v>
      </c>
      <c r="N110" s="61">
        <f t="shared" si="40"/>
        <v>0</v>
      </c>
      <c r="O110" s="61">
        <f t="shared" si="40"/>
        <v>0</v>
      </c>
      <c r="P110" s="61">
        <f t="shared" si="40"/>
        <v>0</v>
      </c>
      <c r="Q110" s="61">
        <f t="shared" si="40"/>
        <v>0</v>
      </c>
      <c r="R110" s="61">
        <f t="shared" si="40"/>
        <v>0</v>
      </c>
      <c r="S110" s="61">
        <f t="shared" si="40"/>
        <v>0</v>
      </c>
      <c r="T110" s="61">
        <f t="shared" si="40"/>
        <v>0</v>
      </c>
      <c r="U110" s="61">
        <f t="shared" si="40"/>
        <v>0</v>
      </c>
      <c r="V110" s="61">
        <f t="shared" si="40"/>
        <v>0</v>
      </c>
      <c r="W110" s="61">
        <f t="shared" si="40"/>
        <v>0</v>
      </c>
      <c r="X110" s="61">
        <f t="shared" si="40"/>
        <v>0</v>
      </c>
      <c r="Y110" s="61">
        <f t="shared" si="40"/>
        <v>0</v>
      </c>
    </row>
    <row r="111" spans="1:33" x14ac:dyDescent="0.25">
      <c r="A111" s="128" t="str">
        <f>A$16</f>
        <v xml:space="preserve">Vaches lot principal </v>
      </c>
      <c r="B111" s="61">
        <f t="shared" ref="B111:Y111" si="41">(B40*B$3*B100)/1000</f>
        <v>4.6716279069767443</v>
      </c>
      <c r="C111" s="61">
        <f t="shared" si="41"/>
        <v>5.1387906976744198</v>
      </c>
      <c r="D111" s="61">
        <f t="shared" si="41"/>
        <v>4.6414883720930238</v>
      </c>
      <c r="E111" s="61">
        <f t="shared" si="41"/>
        <v>4.6414883720930238</v>
      </c>
      <c r="F111" s="61">
        <f t="shared" si="41"/>
        <v>5.1387906976744198</v>
      </c>
      <c r="G111" s="61">
        <f t="shared" si="41"/>
        <v>6.6613953488372095</v>
      </c>
      <c r="H111" s="61">
        <f t="shared" si="41"/>
        <v>2.6152325581395348</v>
      </c>
      <c r="I111" s="61">
        <f t="shared" si="41"/>
        <v>2.905813953488372</v>
      </c>
      <c r="J111" s="61">
        <f t="shared" si="41"/>
        <v>3.7533430232558134</v>
      </c>
      <c r="K111" s="61">
        <f t="shared" si="41"/>
        <v>4.3538779069767441</v>
      </c>
      <c r="L111" s="61">
        <f t="shared" si="41"/>
        <v>4.5040116279069773</v>
      </c>
      <c r="M111" s="61">
        <f t="shared" si="41"/>
        <v>4.794593023255814</v>
      </c>
      <c r="N111" s="61">
        <f t="shared" si="41"/>
        <v>4.9544127906976749</v>
      </c>
      <c r="O111" s="61">
        <f t="shared" si="41"/>
        <v>4.9544127906976749</v>
      </c>
      <c r="P111" s="61">
        <f t="shared" si="41"/>
        <v>4.4488604651162795</v>
      </c>
      <c r="Q111" s="61">
        <f t="shared" si="41"/>
        <v>4.3140465116279065</v>
      </c>
      <c r="R111" s="61">
        <f t="shared" si="41"/>
        <v>3.486976744186046</v>
      </c>
      <c r="S111" s="61">
        <f t="shared" si="41"/>
        <v>3.486976744186046</v>
      </c>
      <c r="T111" s="61">
        <f t="shared" si="41"/>
        <v>3.6032093023255811</v>
      </c>
      <c r="U111" s="61">
        <f t="shared" si="41"/>
        <v>2.9119813953488372</v>
      </c>
      <c r="V111" s="61">
        <f t="shared" si="41"/>
        <v>2.8180465116279065</v>
      </c>
      <c r="W111" s="61">
        <f t="shared" si="41"/>
        <v>3.4660465116279071</v>
      </c>
      <c r="X111" s="61">
        <f t="shared" si="41"/>
        <v>3.5815813953488371</v>
      </c>
      <c r="Y111" s="61">
        <f t="shared" si="41"/>
        <v>4.0487441860465125</v>
      </c>
    </row>
    <row r="112" spans="1:33" x14ac:dyDescent="0.25">
      <c r="A112" s="128" t="str">
        <f>A$17</f>
        <v>Génisses renouvellement</v>
      </c>
      <c r="B112" s="61">
        <f t="shared" ref="B112:Y112" si="42">(B41*B$3*B101)/1000</f>
        <v>1.1902558139534882</v>
      </c>
      <c r="C112" s="61">
        <f t="shared" si="42"/>
        <v>1.3214651162790696</v>
      </c>
      <c r="D112" s="61">
        <f t="shared" si="42"/>
        <v>1.4306046511627906</v>
      </c>
      <c r="E112" s="61">
        <f t="shared" si="42"/>
        <v>1.6083720930232557</v>
      </c>
      <c r="F112" s="61">
        <f t="shared" si="42"/>
        <v>1.7806976744186047</v>
      </c>
      <c r="G112" s="61">
        <f t="shared" si="42"/>
        <v>1.7806976744186047</v>
      </c>
      <c r="H112" s="61">
        <f t="shared" si="42"/>
        <v>1.7232558139534881</v>
      </c>
      <c r="I112" s="61">
        <f t="shared" si="42"/>
        <v>1.7232558139534881</v>
      </c>
      <c r="J112" s="61">
        <f t="shared" si="42"/>
        <v>1.7806976744186047</v>
      </c>
      <c r="K112" s="61">
        <f t="shared" si="42"/>
        <v>1.7806976744186047</v>
      </c>
      <c r="L112" s="61">
        <f t="shared" si="42"/>
        <v>1.7232558139534881</v>
      </c>
      <c r="M112" s="61">
        <f t="shared" si="42"/>
        <v>1.7232558139534881</v>
      </c>
      <c r="N112" s="61">
        <f t="shared" si="42"/>
        <v>1.7806976744186047</v>
      </c>
      <c r="O112" s="61">
        <f t="shared" si="42"/>
        <v>1.7806976744186047</v>
      </c>
      <c r="P112" s="61">
        <f t="shared" si="42"/>
        <v>1.7806976744186047</v>
      </c>
      <c r="Q112" s="61">
        <f t="shared" si="42"/>
        <v>1.7806976744186047</v>
      </c>
      <c r="R112" s="61">
        <f t="shared" si="42"/>
        <v>1.6597674418604649</v>
      </c>
      <c r="S112" s="61">
        <f t="shared" si="42"/>
        <v>1.6597674418604649</v>
      </c>
      <c r="T112" s="61">
        <f t="shared" si="42"/>
        <v>1.5838837209302323</v>
      </c>
      <c r="U112" s="61">
        <f t="shared" si="42"/>
        <v>1.4526744186046512</v>
      </c>
      <c r="V112" s="61">
        <f t="shared" si="42"/>
        <v>1.2788372093023255</v>
      </c>
      <c r="W112" s="61">
        <f t="shared" si="42"/>
        <v>1.1518604651162792</v>
      </c>
      <c r="X112" s="61">
        <f t="shared" si="42"/>
        <v>1.1246511627906974</v>
      </c>
      <c r="Y112" s="61">
        <f t="shared" si="42"/>
        <v>1.1246511627906974</v>
      </c>
    </row>
    <row r="113" spans="1:29" x14ac:dyDescent="0.25">
      <c r="A113" s="127" t="str">
        <f>A$18</f>
        <v>génisses 2/3 ans</v>
      </c>
      <c r="B113" s="61">
        <f t="shared" ref="B113:Y113" si="43">(B42*B$3*B102)/1000</f>
        <v>1.4995348837209304</v>
      </c>
      <c r="C113" s="61">
        <f t="shared" si="43"/>
        <v>1.4995348837209304</v>
      </c>
      <c r="D113" s="61">
        <f t="shared" si="43"/>
        <v>1.3544186046511628</v>
      </c>
      <c r="E113" s="61">
        <f t="shared" si="43"/>
        <v>1.3544186046511628</v>
      </c>
      <c r="F113" s="61">
        <f t="shared" si="43"/>
        <v>1.4995348837209304</v>
      </c>
      <c r="G113" s="61">
        <f t="shared" si="43"/>
        <v>1.4995348837209304</v>
      </c>
      <c r="H113" s="61">
        <f t="shared" si="43"/>
        <v>1.4511627906976745</v>
      </c>
      <c r="I113" s="61">
        <f t="shared" si="43"/>
        <v>1.4511627906976745</v>
      </c>
      <c r="J113" s="61">
        <f t="shared" si="43"/>
        <v>1.4995348837209304</v>
      </c>
      <c r="K113" s="61">
        <f t="shared" si="43"/>
        <v>1.4995348837209304</v>
      </c>
      <c r="L113" s="61">
        <f t="shared" si="43"/>
        <v>1.4511627906976745</v>
      </c>
      <c r="M113" s="61">
        <f t="shared" si="43"/>
        <v>1.4511627906976745</v>
      </c>
      <c r="N113" s="61">
        <f t="shared" si="43"/>
        <v>1.4995348837209304</v>
      </c>
      <c r="O113" s="61">
        <f t="shared" si="43"/>
        <v>1.4995348837209304</v>
      </c>
      <c r="P113" s="61">
        <f t="shared" si="43"/>
        <v>1.4995348837209304</v>
      </c>
      <c r="Q113" s="61">
        <f t="shared" si="43"/>
        <v>1.4995348837209304</v>
      </c>
      <c r="R113" s="61">
        <f t="shared" si="43"/>
        <v>1.4511627906976745</v>
      </c>
      <c r="S113" s="61">
        <f t="shared" si="43"/>
        <v>1.4511627906976745</v>
      </c>
      <c r="T113" s="61">
        <f t="shared" si="43"/>
        <v>1.4995348837209304</v>
      </c>
      <c r="U113" s="61">
        <f t="shared" si="43"/>
        <v>1.4995348837209304</v>
      </c>
      <c r="V113" s="61">
        <f t="shared" si="43"/>
        <v>1.4511627906976745</v>
      </c>
      <c r="W113" s="61">
        <f t="shared" si="43"/>
        <v>1.4511627906976745</v>
      </c>
      <c r="X113" s="61">
        <f t="shared" si="43"/>
        <v>1.4995348837209304</v>
      </c>
      <c r="Y113" s="61">
        <f t="shared" si="43"/>
        <v>1.4995348837209304</v>
      </c>
    </row>
    <row r="114" spans="1:29" x14ac:dyDescent="0.25">
      <c r="A114" s="128" t="str">
        <f>A$19</f>
        <v>tardive</v>
      </c>
      <c r="B114" s="61">
        <f t="shared" ref="B114:Y114" si="44">(B43*B$3*B103)/1000</f>
        <v>0.4504011627906977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1.5981976744186044</v>
      </c>
      <c r="S114" s="61">
        <f t="shared" si="44"/>
        <v>1.5981976744186044</v>
      </c>
      <c r="T114" s="61">
        <f t="shared" si="44"/>
        <v>1.6514709302325579</v>
      </c>
      <c r="U114" s="61">
        <f t="shared" si="44"/>
        <v>1.6514709302325579</v>
      </c>
      <c r="V114" s="61">
        <f t="shared" si="44"/>
        <v>1.5981976744186044</v>
      </c>
      <c r="W114" s="61">
        <f t="shared" si="44"/>
        <v>1.5981976744186044</v>
      </c>
      <c r="X114" s="61">
        <f t="shared" si="44"/>
        <v>1.6514709302325579</v>
      </c>
      <c r="Y114" s="61">
        <f t="shared" si="44"/>
        <v>1.050936046511628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7.8999999999999995</v>
      </c>
      <c r="C120" s="61">
        <f t="shared" ref="C120:Y120" si="50">SUM(C110:C119)</f>
        <v>7.9597906976744195</v>
      </c>
      <c r="D120" s="61">
        <f t="shared" si="50"/>
        <v>7.4265116279069767</v>
      </c>
      <c r="E120" s="61">
        <f t="shared" si="50"/>
        <v>7.6042790697674425</v>
      </c>
      <c r="F120" s="61">
        <f t="shared" si="50"/>
        <v>8.4190232558139542</v>
      </c>
      <c r="G120" s="61">
        <f t="shared" si="50"/>
        <v>9.9416279069767448</v>
      </c>
      <c r="H120" s="61">
        <f t="shared" si="50"/>
        <v>8.7198837209302322</v>
      </c>
      <c r="I120" s="61">
        <f t="shared" si="50"/>
        <v>8.6197674418604642</v>
      </c>
      <c r="J120" s="61">
        <f t="shared" si="50"/>
        <v>8.6484593023255805</v>
      </c>
      <c r="K120" s="61">
        <f t="shared" si="50"/>
        <v>8.4415523255813945</v>
      </c>
      <c r="L120" s="61">
        <f t="shared" si="50"/>
        <v>8.0691279069767443</v>
      </c>
      <c r="M120" s="61">
        <f t="shared" si="50"/>
        <v>7.9690116279069763</v>
      </c>
      <c r="N120" s="61">
        <f t="shared" si="50"/>
        <v>8.2346453488372102</v>
      </c>
      <c r="O120" s="61">
        <f t="shared" si="50"/>
        <v>8.2346453488372102</v>
      </c>
      <c r="P120" s="61">
        <f t="shared" si="50"/>
        <v>7.7290930232558139</v>
      </c>
      <c r="Q120" s="61">
        <f t="shared" si="50"/>
        <v>7.5942790697674418</v>
      </c>
      <c r="R120" s="61">
        <f t="shared" si="50"/>
        <v>8.1961046511627895</v>
      </c>
      <c r="S120" s="61">
        <f t="shared" si="50"/>
        <v>8.1961046511627895</v>
      </c>
      <c r="T120" s="61">
        <f t="shared" si="50"/>
        <v>8.3380988372093015</v>
      </c>
      <c r="U120" s="61">
        <f t="shared" si="50"/>
        <v>7.5156616279069759</v>
      </c>
      <c r="V120" s="61">
        <f t="shared" si="50"/>
        <v>7.1462441860465109</v>
      </c>
      <c r="W120" s="61">
        <f t="shared" si="50"/>
        <v>7.6672674418604654</v>
      </c>
      <c r="X120" s="61">
        <f t="shared" si="50"/>
        <v>7.8572383720930219</v>
      </c>
      <c r="Y120" s="61">
        <f t="shared" si="50"/>
        <v>7.7238662790697692</v>
      </c>
      <c r="AA120" s="57">
        <f>SUM(B120:Y120)</f>
        <v>194.15228372093023</v>
      </c>
      <c r="AB120" t="s">
        <v>38</v>
      </c>
      <c r="AC120" t="s">
        <v>206</v>
      </c>
    </row>
    <row r="121" spans="1:29" x14ac:dyDescent="0.25">
      <c r="AA121">
        <f>AA49*4.75</f>
        <v>205.29941860465115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suitées au pâturage</v>
      </c>
      <c r="B123" s="60"/>
      <c r="C123" s="60"/>
      <c r="D123" s="60"/>
      <c r="E123" s="60"/>
      <c r="F123" s="60"/>
      <c r="G123" s="60"/>
      <c r="H123" s="158"/>
      <c r="I123" s="158"/>
      <c r="J123" s="158"/>
      <c r="K123" s="158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 xml:space="preserve">Vaches lot principal 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Génisses renouvellement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génisses 2/3 ans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tardive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suitées au pâturage</v>
      </c>
      <c r="B136" s="61">
        <f>B110*(1-B123)</f>
        <v>0</v>
      </c>
      <c r="C136" s="61">
        <f t="shared" ref="C136:Y136" si="51">C110*(1-C123)</f>
        <v>0</v>
      </c>
      <c r="D136" s="61">
        <f t="shared" si="51"/>
        <v>0</v>
      </c>
      <c r="E136" s="61">
        <f t="shared" si="51"/>
        <v>0</v>
      </c>
      <c r="F136" s="61">
        <f t="shared" si="51"/>
        <v>0</v>
      </c>
      <c r="G136" s="61">
        <f t="shared" si="51"/>
        <v>0</v>
      </c>
      <c r="H136" s="61">
        <f t="shared" si="51"/>
        <v>2.9302325581395348</v>
      </c>
      <c r="I136" s="61">
        <f t="shared" si="51"/>
        <v>2.5395348837209304</v>
      </c>
      <c r="J136" s="61">
        <f t="shared" si="51"/>
        <v>1.6148837209302322</v>
      </c>
      <c r="K136" s="61">
        <f t="shared" si="51"/>
        <v>0.80744186046511612</v>
      </c>
      <c r="L136" s="61">
        <f t="shared" si="51"/>
        <v>0.39069767441860465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0</v>
      </c>
      <c r="U136" s="61">
        <f t="shared" si="51"/>
        <v>0</v>
      </c>
      <c r="V136" s="61">
        <f t="shared" si="51"/>
        <v>0</v>
      </c>
      <c r="W136" s="61">
        <f t="shared" si="51"/>
        <v>0</v>
      </c>
      <c r="X136" s="61">
        <f t="shared" si="51"/>
        <v>0</v>
      </c>
      <c r="Y136" s="61">
        <f t="shared" si="51"/>
        <v>0</v>
      </c>
      <c r="AA136" s="61">
        <f>SUM(B136:Y136)</f>
        <v>8.2827906976744181</v>
      </c>
    </row>
    <row r="137" spans="1:31" x14ac:dyDescent="0.25">
      <c r="A137" s="128" t="str">
        <f>A$16</f>
        <v xml:space="preserve">Vaches lot principal </v>
      </c>
      <c r="B137" s="61">
        <f t="shared" ref="B137:Y144" si="52">B111*(1-B124)</f>
        <v>4.6716279069767443</v>
      </c>
      <c r="C137" s="61">
        <f t="shared" si="52"/>
        <v>5.1387906976744198</v>
      </c>
      <c r="D137" s="61">
        <f t="shared" si="52"/>
        <v>4.6414883720930238</v>
      </c>
      <c r="E137" s="61">
        <f t="shared" si="52"/>
        <v>4.6414883720930238</v>
      </c>
      <c r="F137" s="61">
        <f t="shared" si="52"/>
        <v>5.1387906976744198</v>
      </c>
      <c r="G137" s="61">
        <f t="shared" si="52"/>
        <v>6.6613953488372095</v>
      </c>
      <c r="H137" s="61">
        <f t="shared" si="52"/>
        <v>2.6152325581395348</v>
      </c>
      <c r="I137" s="61">
        <f t="shared" si="52"/>
        <v>2.905813953488372</v>
      </c>
      <c r="J137" s="61">
        <f t="shared" si="52"/>
        <v>3.7533430232558134</v>
      </c>
      <c r="K137" s="61">
        <f t="shared" si="52"/>
        <v>4.3538779069767441</v>
      </c>
      <c r="L137" s="61">
        <f t="shared" si="52"/>
        <v>4.5040116279069773</v>
      </c>
      <c r="M137" s="61">
        <f t="shared" si="52"/>
        <v>4.794593023255814</v>
      </c>
      <c r="N137" s="61">
        <f t="shared" si="52"/>
        <v>4.9544127906976749</v>
      </c>
      <c r="O137" s="61">
        <f t="shared" si="52"/>
        <v>4.9544127906976749</v>
      </c>
      <c r="P137" s="61">
        <f t="shared" si="52"/>
        <v>4.4488604651162795</v>
      </c>
      <c r="Q137" s="61">
        <f t="shared" si="52"/>
        <v>4.3140465116279065</v>
      </c>
      <c r="R137" s="61">
        <f t="shared" si="52"/>
        <v>3.486976744186046</v>
      </c>
      <c r="S137" s="61">
        <f t="shared" si="52"/>
        <v>3.486976744186046</v>
      </c>
      <c r="T137" s="61">
        <f t="shared" si="52"/>
        <v>3.6032093023255811</v>
      </c>
      <c r="U137" s="61">
        <f t="shared" si="52"/>
        <v>2.9119813953488372</v>
      </c>
      <c r="V137" s="61">
        <f t="shared" si="52"/>
        <v>2.8180465116279065</v>
      </c>
      <c r="W137" s="61">
        <f t="shared" si="52"/>
        <v>3.4660465116279071</v>
      </c>
      <c r="X137" s="61">
        <f t="shared" si="52"/>
        <v>3.5815813953488371</v>
      </c>
      <c r="Y137" s="61">
        <f t="shared" si="52"/>
        <v>4.0487441860465125</v>
      </c>
      <c r="AA137" s="61">
        <f>SUM(B137:Y137)</f>
        <v>99.895748837209311</v>
      </c>
    </row>
    <row r="138" spans="1:31" x14ac:dyDescent="0.25">
      <c r="A138" s="128" t="str">
        <f>A$17</f>
        <v>Génisses renouvellement</v>
      </c>
      <c r="B138" s="61">
        <f t="shared" si="52"/>
        <v>1.1902558139534882</v>
      </c>
      <c r="C138" s="61">
        <f t="shared" si="52"/>
        <v>1.3214651162790696</v>
      </c>
      <c r="D138" s="61">
        <f t="shared" si="52"/>
        <v>1.4306046511627906</v>
      </c>
      <c r="E138" s="61">
        <f t="shared" si="52"/>
        <v>1.6083720930232557</v>
      </c>
      <c r="F138" s="61">
        <f t="shared" si="52"/>
        <v>1.7806976744186047</v>
      </c>
      <c r="G138" s="61">
        <f t="shared" si="52"/>
        <v>1.7806976744186047</v>
      </c>
      <c r="H138" s="61">
        <f t="shared" si="52"/>
        <v>1.7232558139534881</v>
      </c>
      <c r="I138" s="61">
        <f t="shared" si="52"/>
        <v>1.7232558139534881</v>
      </c>
      <c r="J138" s="61">
        <f t="shared" si="52"/>
        <v>1.7806976744186047</v>
      </c>
      <c r="K138" s="61">
        <f t="shared" si="52"/>
        <v>1.7806976744186047</v>
      </c>
      <c r="L138" s="61">
        <f t="shared" si="52"/>
        <v>1.7232558139534881</v>
      </c>
      <c r="M138" s="61">
        <f t="shared" si="52"/>
        <v>1.7232558139534881</v>
      </c>
      <c r="N138" s="61">
        <f t="shared" si="52"/>
        <v>1.7806976744186047</v>
      </c>
      <c r="O138" s="61">
        <f t="shared" si="52"/>
        <v>1.7806976744186047</v>
      </c>
      <c r="P138" s="61">
        <f t="shared" si="52"/>
        <v>1.7806976744186047</v>
      </c>
      <c r="Q138" s="61">
        <f t="shared" si="52"/>
        <v>1.7806976744186047</v>
      </c>
      <c r="R138" s="61">
        <f t="shared" si="52"/>
        <v>1.6597674418604649</v>
      </c>
      <c r="S138" s="61">
        <f t="shared" si="52"/>
        <v>1.6597674418604649</v>
      </c>
      <c r="T138" s="61">
        <f t="shared" si="52"/>
        <v>1.5838837209302323</v>
      </c>
      <c r="U138" s="61">
        <f t="shared" si="52"/>
        <v>1.4526744186046512</v>
      </c>
      <c r="V138" s="61">
        <f t="shared" si="52"/>
        <v>1.2788372093023255</v>
      </c>
      <c r="W138" s="61">
        <f t="shared" si="52"/>
        <v>1.1518604651162792</v>
      </c>
      <c r="X138" s="61">
        <f t="shared" si="52"/>
        <v>1.1246511627906974</v>
      </c>
      <c r="Y138" s="61">
        <f t="shared" si="52"/>
        <v>1.1246511627906974</v>
      </c>
      <c r="AA138" s="61">
        <f t="shared" ref="AA138:AA144" si="53">SUM(B138:Y138)</f>
        <v>37.725395348837203</v>
      </c>
    </row>
    <row r="139" spans="1:31" x14ac:dyDescent="0.25">
      <c r="A139" s="127" t="str">
        <f>A$18</f>
        <v>génisses 2/3 ans</v>
      </c>
      <c r="B139" s="61">
        <f t="shared" si="52"/>
        <v>1.4995348837209304</v>
      </c>
      <c r="C139" s="61">
        <f t="shared" si="52"/>
        <v>1.4995348837209304</v>
      </c>
      <c r="D139" s="61">
        <f t="shared" si="52"/>
        <v>1.3544186046511628</v>
      </c>
      <c r="E139" s="61">
        <f t="shared" si="52"/>
        <v>1.3544186046511628</v>
      </c>
      <c r="F139" s="61">
        <f t="shared" si="52"/>
        <v>1.4995348837209304</v>
      </c>
      <c r="G139" s="61">
        <f t="shared" si="52"/>
        <v>1.4995348837209304</v>
      </c>
      <c r="H139" s="61">
        <f t="shared" si="52"/>
        <v>1.4511627906976745</v>
      </c>
      <c r="I139" s="61">
        <f t="shared" si="52"/>
        <v>1.4511627906976745</v>
      </c>
      <c r="J139" s="61">
        <f t="shared" si="52"/>
        <v>1.4995348837209304</v>
      </c>
      <c r="K139" s="61">
        <f t="shared" si="52"/>
        <v>1.4995348837209304</v>
      </c>
      <c r="L139" s="61">
        <f t="shared" si="52"/>
        <v>1.4511627906976745</v>
      </c>
      <c r="M139" s="61">
        <f t="shared" si="52"/>
        <v>1.4511627906976745</v>
      </c>
      <c r="N139" s="61">
        <f t="shared" si="52"/>
        <v>1.4995348837209304</v>
      </c>
      <c r="O139" s="61">
        <f t="shared" si="52"/>
        <v>1.4995348837209304</v>
      </c>
      <c r="P139" s="61">
        <f t="shared" si="52"/>
        <v>1.4995348837209304</v>
      </c>
      <c r="Q139" s="61">
        <f t="shared" si="52"/>
        <v>1.4995348837209304</v>
      </c>
      <c r="R139" s="61">
        <f t="shared" si="52"/>
        <v>1.4511627906976745</v>
      </c>
      <c r="S139" s="61">
        <f t="shared" si="52"/>
        <v>1.4511627906976745</v>
      </c>
      <c r="T139" s="61">
        <f t="shared" si="52"/>
        <v>1.4995348837209304</v>
      </c>
      <c r="U139" s="61">
        <f t="shared" si="52"/>
        <v>1.4995348837209304</v>
      </c>
      <c r="V139" s="61">
        <f t="shared" si="52"/>
        <v>1.4511627906976745</v>
      </c>
      <c r="W139" s="61">
        <f t="shared" si="52"/>
        <v>1.4511627906976745</v>
      </c>
      <c r="X139" s="61">
        <f t="shared" si="52"/>
        <v>1.4995348837209304</v>
      </c>
      <c r="Y139" s="61">
        <f t="shared" si="52"/>
        <v>1.4995348837209304</v>
      </c>
      <c r="AA139" s="61">
        <f t="shared" si="53"/>
        <v>35.311627906976739</v>
      </c>
    </row>
    <row r="140" spans="1:31" x14ac:dyDescent="0.25">
      <c r="A140" s="128" t="str">
        <f>A$19</f>
        <v>tardive</v>
      </c>
      <c r="B140" s="61">
        <f t="shared" si="52"/>
        <v>0.4504011627906977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1.5981976744186044</v>
      </c>
      <c r="S140" s="61">
        <f t="shared" si="52"/>
        <v>1.5981976744186044</v>
      </c>
      <c r="T140" s="61">
        <f t="shared" si="52"/>
        <v>1.6514709302325579</v>
      </c>
      <c r="U140" s="61">
        <f t="shared" si="52"/>
        <v>1.6514709302325579</v>
      </c>
      <c r="V140" s="61">
        <f t="shared" si="52"/>
        <v>1.5981976744186044</v>
      </c>
      <c r="W140" s="61">
        <f t="shared" si="52"/>
        <v>1.5981976744186044</v>
      </c>
      <c r="X140" s="61">
        <f t="shared" si="52"/>
        <v>1.6514709302325579</v>
      </c>
      <c r="Y140" s="61">
        <f t="shared" si="52"/>
        <v>1.050936046511628</v>
      </c>
      <c r="AA140" s="61">
        <f t="shared" si="53"/>
        <v>12.848540697674416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194.0641034883721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213.47051383720932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suitées au pâturage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0</v>
      </c>
      <c r="I149" s="61">
        <f t="shared" si="55"/>
        <v>0</v>
      </c>
      <c r="J149" s="61">
        <f t="shared" si="55"/>
        <v>0</v>
      </c>
      <c r="K149" s="61">
        <f t="shared" si="55"/>
        <v>0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 xml:space="preserve">Vaches lot principal 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0</v>
      </c>
      <c r="I150" s="61">
        <f t="shared" si="56"/>
        <v>0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renouvellement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génisses 2/3 ans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tardive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suitées au pâturage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0</v>
      </c>
      <c r="I162" s="61">
        <f t="shared" si="65"/>
        <v>0</v>
      </c>
      <c r="J162" s="61">
        <f t="shared" si="65"/>
        <v>0</v>
      </c>
      <c r="K162" s="61">
        <f t="shared" si="65"/>
        <v>0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 xml:space="preserve">Vaches lot principal 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renouvellement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génisses 2/3 ans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tardive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0</v>
      </c>
      <c r="I172" s="61">
        <f t="shared" si="75"/>
        <v>0</v>
      </c>
      <c r="J172" s="61">
        <f t="shared" si="75"/>
        <v>0</v>
      </c>
      <c r="K172" s="61">
        <f t="shared" si="75"/>
        <v>0</v>
      </c>
      <c r="L172" s="61">
        <f t="shared" si="75"/>
        <v>0</v>
      </c>
      <c r="M172" s="61">
        <f t="shared" si="75"/>
        <v>0</v>
      </c>
      <c r="N172" s="61">
        <f t="shared" si="75"/>
        <v>0</v>
      </c>
      <c r="O172" s="61">
        <f t="shared" si="75"/>
        <v>0</v>
      </c>
      <c r="P172" s="61">
        <f t="shared" si="75"/>
        <v>0</v>
      </c>
      <c r="Q172" s="61">
        <f t="shared" si="75"/>
        <v>0</v>
      </c>
      <c r="R172" s="61">
        <f t="shared" si="75"/>
        <v>0</v>
      </c>
      <c r="S172" s="61">
        <f t="shared" si="75"/>
        <v>0</v>
      </c>
      <c r="T172" s="61">
        <f t="shared" si="75"/>
        <v>0</v>
      </c>
      <c r="U172" s="61">
        <f t="shared" si="75"/>
        <v>0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suitées au pâturage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 xml:space="preserve">Vaches lot principal 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renouvellement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génisses 2/3 ans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tardive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suitées au pâturage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 xml:space="preserve">Vaches lot principal 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renouvellement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génisses 2/3 ans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tardive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suitées au pâturage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 xml:space="preserve">Vaches lot principal 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renouvellement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génisses 2/3 ans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tardive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0</v>
      </c>
      <c r="I215" s="61">
        <f t="shared" si="108"/>
        <v>0</v>
      </c>
      <c r="J215" s="61">
        <f t="shared" si="108"/>
        <v>0</v>
      </c>
      <c r="K215" s="61">
        <f t="shared" si="108"/>
        <v>0</v>
      </c>
      <c r="L215" s="61">
        <f t="shared" si="108"/>
        <v>0</v>
      </c>
      <c r="M215" s="61">
        <f t="shared" si="108"/>
        <v>0</v>
      </c>
      <c r="N215" s="61">
        <f t="shared" si="108"/>
        <v>0</v>
      </c>
      <c r="O215" s="61">
        <f t="shared" si="108"/>
        <v>0</v>
      </c>
      <c r="P215" s="61">
        <f t="shared" si="108"/>
        <v>0</v>
      </c>
      <c r="Q215" s="61">
        <f t="shared" si="108"/>
        <v>0</v>
      </c>
      <c r="R215" s="61">
        <f t="shared" si="108"/>
        <v>0</v>
      </c>
      <c r="S215" s="61">
        <f t="shared" si="108"/>
        <v>0</v>
      </c>
      <c r="T215" s="61">
        <f t="shared" si="108"/>
        <v>0</v>
      </c>
      <c r="U215" s="61">
        <f t="shared" si="108"/>
        <v>0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K20" sqref="AK2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Z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92.53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213.47051383720932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222</v>
      </c>
    </row>
    <row r="6" spans="1:53" x14ac:dyDescent="0.25">
      <c r="B6" s="14" t="s">
        <v>292</v>
      </c>
      <c r="C6" s="143">
        <f>SUM(Troupeau!B68:E68)</f>
        <v>26.74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186.79999999999998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9.8000000000000007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4.5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9.8000000000000007</v>
      </c>
      <c r="H14" s="145">
        <f>CdTrp1!AL54+CdTrp2!AL54+CdTrp3!AL54+CdTrp4!AL54</f>
        <v>4.5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4.2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4.2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21" zoomScale="90" zoomScaleNormal="90" workbookViewId="0">
      <selection activeCell="E36" sqref="E36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140625" customWidth="1"/>
    <col min="16" max="16" width="4.7109375" customWidth="1"/>
    <col min="17" max="17" width="6.28515625" style="58" customWidth="1"/>
    <col min="18" max="18" width="6.28515625" customWidth="1"/>
    <col min="19" max="19" width="22.140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9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f>17+R9-O30</f>
        <v>8.1000000000000014</v>
      </c>
      <c r="P7">
        <v>1</v>
      </c>
      <c r="Q7" s="39">
        <v>15</v>
      </c>
      <c r="R7" s="39">
        <v>1</v>
      </c>
      <c r="S7" s="278" t="str">
        <f>VLOOKUP($Q7,[1]MEP!$A$5:$D$300,3)</f>
        <v xml:space="preserve">PP bonne 2 coupes </v>
      </c>
      <c r="T7" s="76" t="str">
        <f>VLOOKUP($Q7,[1]MEP!$A$5:$D$300,4)</f>
        <v>zone 1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5.2965000000000009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5.2965000000000009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92.53</v>
      </c>
      <c r="G8" s="99"/>
      <c r="H8" s="99"/>
      <c r="I8" s="99"/>
      <c r="J8" s="99"/>
      <c r="K8" s="99"/>
      <c r="L8" s="81"/>
      <c r="M8" s="100"/>
      <c r="N8" s="147" t="s">
        <v>88</v>
      </c>
      <c r="O8" s="280">
        <f>SUM(R7:R26)</f>
        <v>8.1</v>
      </c>
      <c r="P8">
        <v>2</v>
      </c>
      <c r="Q8" s="39">
        <v>15</v>
      </c>
      <c r="R8" s="39">
        <v>2</v>
      </c>
      <c r="S8" s="278" t="str">
        <f>VLOOKUP($Q8,[1]MEP!$A$5:$D$300,3)</f>
        <v xml:space="preserve">PP bonne 2 coupes </v>
      </c>
      <c r="T8" s="76" t="str">
        <f>VLOOKUP($Q8,[1]MEP!$A$5:$D$300,4)</f>
        <v>zone 1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5.2965000000000009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10.593000000000002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92.53</v>
      </c>
      <c r="G9" s="81"/>
      <c r="H9" s="61">
        <f>SUM(L34:L43)</f>
        <v>29.099999999999998</v>
      </c>
      <c r="I9" s="81"/>
      <c r="J9" s="81"/>
      <c r="K9" s="93">
        <f>H9-F9</f>
        <v>-63.430000000000007</v>
      </c>
      <c r="L9" s="81"/>
      <c r="M9" s="100"/>
      <c r="P9">
        <v>3</v>
      </c>
      <c r="Q9" s="39">
        <v>204</v>
      </c>
      <c r="R9" s="39">
        <v>0.6</v>
      </c>
      <c r="S9" s="278" t="str">
        <f>VLOOKUP($Q9,[1]MEP!$A$5:$D$300,3)</f>
        <v xml:space="preserve">PT Excellente 2 coupes </v>
      </c>
      <c r="T9" s="76" t="str">
        <f>VLOOKUP($Q9,[1]MEP!$A$5:$D$300,4)</f>
        <v>zone 1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8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4.8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26.74</v>
      </c>
      <c r="G10" s="81"/>
      <c r="H10" s="61">
        <f>SUM(M34:M43)</f>
        <v>27.3</v>
      </c>
      <c r="I10" s="81"/>
      <c r="J10" s="81"/>
      <c r="K10" s="93">
        <f>H10-F10</f>
        <v>0.56000000000000227</v>
      </c>
      <c r="L10" s="81"/>
      <c r="M10" s="100"/>
      <c r="P10">
        <v>4</v>
      </c>
      <c r="Q10" s="39">
        <v>273</v>
      </c>
      <c r="R10" s="39">
        <v>3</v>
      </c>
      <c r="S10" s="278" t="str">
        <f>VLOOKUP($Q10,[1]MEP!$A$5:$D$300,3)</f>
        <v>PP EXCELLENTE 3 COUPES ENRUB</v>
      </c>
      <c r="T10" s="76" t="str">
        <f>VLOOKUP($Q10,[1]MEP!$A$5:$D$300,4)</f>
        <v>zone 1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9.8000000000000007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29.400000000000002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15</v>
      </c>
      <c r="R11" s="39">
        <v>0.5</v>
      </c>
      <c r="S11" s="278" t="str">
        <f>VLOOKUP($Q11,[1]MEP!$A$5:$D$300,3)</f>
        <v xml:space="preserve">PP bonne 2 coupes </v>
      </c>
      <c r="T11" s="76" t="str">
        <f>VLOOKUP($Q11,[1]MEP!$A$5:$D$300,4)</f>
        <v>zone 1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5.2965000000000009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2.6482500000000004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274</v>
      </c>
      <c r="R12" s="39">
        <v>1</v>
      </c>
      <c r="S12" s="278" t="str">
        <f>VLOOKUP($Q12,[1]MEP!$A$5:$D$300,3)</f>
        <v>PP BONNE 3 COUPES ENRUB</v>
      </c>
      <c r="T12" s="76" t="str">
        <f>VLOOKUP($Q12,[1]MEP!$A$5:$D$300,4)</f>
        <v>zone 1</v>
      </c>
      <c r="U12" s="76" t="str">
        <f>VLOOKUP($Q12,[1]MEP!$A$4:$K$300,2)</f>
        <v>F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6.8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6.8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9.8000000000000007</v>
      </c>
      <c r="G13" s="81"/>
      <c r="H13" s="61">
        <f>F61</f>
        <v>0</v>
      </c>
      <c r="I13" s="81"/>
      <c r="J13" s="81"/>
      <c r="K13" s="93">
        <f>H13-F13</f>
        <v>-9.8000000000000007</v>
      </c>
      <c r="L13" s="81"/>
      <c r="M13" s="100"/>
      <c r="P13">
        <v>7</v>
      </c>
      <c r="Q13" s="39"/>
      <c r="R13" s="39"/>
      <c r="S13" s="278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ref="AE13:AJ14" si="14">$R13*V13</f>
        <v>0</v>
      </c>
      <c r="AF13" s="61">
        <f t="shared" si="14"/>
        <v>0</v>
      </c>
      <c r="AG13" s="61">
        <f t="shared" si="14"/>
        <v>0</v>
      </c>
      <c r="AH13" s="61">
        <f t="shared" si="14"/>
        <v>0</v>
      </c>
      <c r="AI13" s="61">
        <f t="shared" si="14"/>
        <v>0</v>
      </c>
      <c r="AJ13" s="61">
        <f t="shared" si="14"/>
        <v>0</v>
      </c>
      <c r="AK13" s="141"/>
      <c r="AL13" s="61">
        <f>R13*AC13</f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4.5</v>
      </c>
      <c r="G14" s="81"/>
      <c r="H14" s="61">
        <f>G61</f>
        <v>0</v>
      </c>
      <c r="I14" s="81"/>
      <c r="J14" s="81"/>
      <c r="K14" s="93">
        <f t="shared" ref="K14:K17" si="15">H14-F14</f>
        <v>-4.5</v>
      </c>
      <c r="L14" s="81"/>
      <c r="M14" s="100"/>
      <c r="P14">
        <v>8</v>
      </c>
      <c r="Q14" s="39"/>
      <c r="R14" s="279"/>
      <c r="S14" s="278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4"/>
        <v>0</v>
      </c>
      <c r="AF14" s="61">
        <f t="shared" si="14"/>
        <v>0</v>
      </c>
      <c r="AG14" s="61">
        <f t="shared" si="14"/>
        <v>0</v>
      </c>
      <c r="AH14" s="61">
        <f t="shared" si="14"/>
        <v>0</v>
      </c>
      <c r="AI14" s="61">
        <f t="shared" si="14"/>
        <v>0</v>
      </c>
      <c r="AJ14" s="61">
        <f t="shared" si="14"/>
        <v>0</v>
      </c>
      <c r="AK14" s="141"/>
      <c r="AL14" s="61">
        <f>R14*AC14</f>
        <v>0</v>
      </c>
      <c r="AP14" s="164"/>
      <c r="AQ14" s="164"/>
      <c r="AR14" s="165" t="s">
        <v>474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5"/>
        <v>0</v>
      </c>
      <c r="L15" s="81"/>
      <c r="M15" s="100"/>
      <c r="P15">
        <v>9</v>
      </c>
      <c r="Q15" s="39"/>
      <c r="R15" s="39"/>
      <c r="S15" s="278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475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5"/>
        <v>0</v>
      </c>
      <c r="L16" s="81"/>
      <c r="M16" s="100"/>
      <c r="P16">
        <v>10</v>
      </c>
      <c r="Q16" s="39"/>
      <c r="R16" s="39"/>
      <c r="S16" s="278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476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5"/>
        <v>0</v>
      </c>
      <c r="L17" s="81"/>
      <c r="M17" s="100"/>
      <c r="P17">
        <v>11</v>
      </c>
      <c r="Q17" s="39"/>
      <c r="R17" s="39"/>
      <c r="S17" s="278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477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8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8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475</v>
      </c>
      <c r="AR19" s="69">
        <v>1</v>
      </c>
      <c r="AS19" s="61">
        <f>IF(AS$4=1,AS$15,0)</f>
        <v>0</v>
      </c>
      <c r="AT19" s="61">
        <f t="shared" ref="AT19:BP19" si="16">IF(AT$4=1,AT$15,0)</f>
        <v>0</v>
      </c>
      <c r="AU19" s="61">
        <f t="shared" si="16"/>
        <v>0</v>
      </c>
      <c r="AV19" s="61">
        <f t="shared" si="16"/>
        <v>0</v>
      </c>
      <c r="AW19" s="61">
        <f t="shared" si="16"/>
        <v>0</v>
      </c>
      <c r="AX19" s="61">
        <f t="shared" si="16"/>
        <v>0</v>
      </c>
      <c r="AY19" s="61">
        <f t="shared" si="16"/>
        <v>0</v>
      </c>
      <c r="AZ19" s="61">
        <f t="shared" si="16"/>
        <v>0</v>
      </c>
      <c r="BA19" s="61">
        <f t="shared" si="16"/>
        <v>0</v>
      </c>
      <c r="BB19" s="61">
        <f t="shared" si="16"/>
        <v>0</v>
      </c>
      <c r="BC19" s="61">
        <f t="shared" si="16"/>
        <v>0</v>
      </c>
      <c r="BD19" s="61">
        <f t="shared" si="16"/>
        <v>0</v>
      </c>
      <c r="BE19" s="61">
        <f t="shared" si="16"/>
        <v>0</v>
      </c>
      <c r="BF19" s="61">
        <f t="shared" si="16"/>
        <v>0</v>
      </c>
      <c r="BG19" s="61">
        <f t="shared" si="16"/>
        <v>0</v>
      </c>
      <c r="BH19" s="61">
        <f t="shared" si="16"/>
        <v>0</v>
      </c>
      <c r="BI19" s="61">
        <f t="shared" si="16"/>
        <v>0</v>
      </c>
      <c r="BJ19" s="61">
        <f t="shared" si="16"/>
        <v>0</v>
      </c>
      <c r="BK19" s="61">
        <f t="shared" si="16"/>
        <v>0</v>
      </c>
      <c r="BL19" s="61">
        <f t="shared" si="16"/>
        <v>0</v>
      </c>
      <c r="BM19" s="61">
        <f t="shared" si="16"/>
        <v>0</v>
      </c>
      <c r="BN19" s="61">
        <f t="shared" si="16"/>
        <v>0</v>
      </c>
      <c r="BO19" s="61">
        <f t="shared" si="16"/>
        <v>0</v>
      </c>
      <c r="BP19" s="61">
        <f t="shared" si="16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8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7">IF(AT$4=2,AT$15,0)</f>
        <v>0</v>
      </c>
      <c r="AU20" s="61">
        <f t="shared" si="17"/>
        <v>0</v>
      </c>
      <c r="AV20" s="61">
        <f t="shared" si="17"/>
        <v>0</v>
      </c>
      <c r="AW20" s="61">
        <f t="shared" si="17"/>
        <v>0</v>
      </c>
      <c r="AX20" s="61">
        <f t="shared" si="17"/>
        <v>0</v>
      </c>
      <c r="AY20" s="61">
        <f t="shared" si="17"/>
        <v>0</v>
      </c>
      <c r="AZ20" s="61">
        <f t="shared" si="17"/>
        <v>0</v>
      </c>
      <c r="BA20" s="61">
        <f t="shared" si="17"/>
        <v>0</v>
      </c>
      <c r="BB20" s="61">
        <f t="shared" si="17"/>
        <v>0</v>
      </c>
      <c r="BC20" s="61">
        <f t="shared" si="17"/>
        <v>0</v>
      </c>
      <c r="BD20" s="61">
        <f t="shared" si="17"/>
        <v>0</v>
      </c>
      <c r="BE20" s="61">
        <f t="shared" si="17"/>
        <v>0</v>
      </c>
      <c r="BF20" s="61">
        <f t="shared" si="17"/>
        <v>0</v>
      </c>
      <c r="BG20" s="61">
        <f t="shared" si="17"/>
        <v>0</v>
      </c>
      <c r="BH20" s="61">
        <f t="shared" si="17"/>
        <v>0</v>
      </c>
      <c r="BI20" s="61">
        <f t="shared" si="17"/>
        <v>0</v>
      </c>
      <c r="BJ20" s="61">
        <f t="shared" si="17"/>
        <v>0</v>
      </c>
      <c r="BK20" s="61">
        <f t="shared" si="17"/>
        <v>0</v>
      </c>
      <c r="BL20" s="61">
        <f t="shared" si="17"/>
        <v>0</v>
      </c>
      <c r="BM20" s="61">
        <f t="shared" si="17"/>
        <v>0</v>
      </c>
      <c r="BN20" s="61">
        <f t="shared" si="17"/>
        <v>0</v>
      </c>
      <c r="BO20" s="61">
        <f t="shared" si="17"/>
        <v>0</v>
      </c>
      <c r="BP20" s="61">
        <f t="shared" si="17"/>
        <v>0</v>
      </c>
      <c r="BR20" s="61">
        <f t="shared" ref="BR20:BR24" si="18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78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9">IF(AT$4=3,AT$15,0)</f>
        <v>0</v>
      </c>
      <c r="AU21" s="61">
        <f t="shared" si="19"/>
        <v>0</v>
      </c>
      <c r="AV21" s="61">
        <f t="shared" si="19"/>
        <v>0</v>
      </c>
      <c r="AW21" s="61">
        <f t="shared" si="19"/>
        <v>0</v>
      </c>
      <c r="AX21" s="61">
        <f t="shared" si="19"/>
        <v>0</v>
      </c>
      <c r="AY21" s="61">
        <f t="shared" si="19"/>
        <v>0</v>
      </c>
      <c r="AZ21" s="61">
        <f t="shared" si="19"/>
        <v>0</v>
      </c>
      <c r="BA21" s="61">
        <f t="shared" si="19"/>
        <v>0</v>
      </c>
      <c r="BB21" s="61">
        <f t="shared" si="19"/>
        <v>0</v>
      </c>
      <c r="BC21" s="61">
        <f t="shared" si="19"/>
        <v>0</v>
      </c>
      <c r="BD21" s="61">
        <f t="shared" si="19"/>
        <v>0</v>
      </c>
      <c r="BE21" s="61">
        <f t="shared" si="19"/>
        <v>0</v>
      </c>
      <c r="BF21" s="61">
        <f t="shared" si="19"/>
        <v>0</v>
      </c>
      <c r="BG21" s="61">
        <f t="shared" si="19"/>
        <v>0</v>
      </c>
      <c r="BH21" s="61">
        <f t="shared" si="19"/>
        <v>0</v>
      </c>
      <c r="BI21" s="61">
        <f t="shared" si="19"/>
        <v>0</v>
      </c>
      <c r="BJ21" s="61">
        <f t="shared" si="19"/>
        <v>0</v>
      </c>
      <c r="BK21" s="61">
        <f t="shared" si="19"/>
        <v>0</v>
      </c>
      <c r="BL21" s="61">
        <f t="shared" si="19"/>
        <v>0</v>
      </c>
      <c r="BM21" s="61">
        <f t="shared" si="19"/>
        <v>0</v>
      </c>
      <c r="BN21" s="61">
        <f t="shared" si="19"/>
        <v>0</v>
      </c>
      <c r="BO21" s="61">
        <f t="shared" si="19"/>
        <v>0</v>
      </c>
      <c r="BP21" s="61">
        <f t="shared" si="19"/>
        <v>0</v>
      </c>
      <c r="BR21" s="61">
        <f t="shared" si="18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78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0">IF(AT$4=4,AT$15,0)</f>
        <v>0</v>
      </c>
      <c r="AU22" s="61">
        <f t="shared" si="20"/>
        <v>0</v>
      </c>
      <c r="AV22" s="61">
        <f t="shared" si="20"/>
        <v>0</v>
      </c>
      <c r="AW22" s="61">
        <f t="shared" si="20"/>
        <v>0</v>
      </c>
      <c r="AX22" s="61">
        <f t="shared" si="20"/>
        <v>0</v>
      </c>
      <c r="AY22" s="61">
        <f t="shared" si="20"/>
        <v>0</v>
      </c>
      <c r="AZ22" s="61">
        <f t="shared" si="20"/>
        <v>0</v>
      </c>
      <c r="BA22" s="61">
        <f t="shared" si="20"/>
        <v>0</v>
      </c>
      <c r="BB22" s="61">
        <f t="shared" si="20"/>
        <v>0</v>
      </c>
      <c r="BC22" s="61">
        <f t="shared" si="20"/>
        <v>0</v>
      </c>
      <c r="BD22" s="61">
        <f t="shared" si="20"/>
        <v>0</v>
      </c>
      <c r="BE22" s="61">
        <f t="shared" si="20"/>
        <v>0</v>
      </c>
      <c r="BF22" s="61">
        <f t="shared" si="20"/>
        <v>0</v>
      </c>
      <c r="BG22" s="61">
        <f t="shared" si="20"/>
        <v>0</v>
      </c>
      <c r="BH22" s="61">
        <f t="shared" si="20"/>
        <v>0</v>
      </c>
      <c r="BI22" s="61">
        <f t="shared" si="20"/>
        <v>0</v>
      </c>
      <c r="BJ22" s="61">
        <f t="shared" si="20"/>
        <v>0</v>
      </c>
      <c r="BK22" s="61">
        <f t="shared" si="20"/>
        <v>0</v>
      </c>
      <c r="BL22" s="61">
        <f t="shared" si="20"/>
        <v>0</v>
      </c>
      <c r="BM22" s="61">
        <f t="shared" si="20"/>
        <v>0</v>
      </c>
      <c r="BN22" s="61">
        <f t="shared" si="20"/>
        <v>0</v>
      </c>
      <c r="BO22" s="61">
        <f t="shared" si="20"/>
        <v>0</v>
      </c>
      <c r="BP22" s="61">
        <f t="shared" si="20"/>
        <v>0</v>
      </c>
      <c r="BR22" s="61">
        <f t="shared" si="18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78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1">IF(AT$4=5,AT$15,0)</f>
        <v>0</v>
      </c>
      <c r="AU23" s="61">
        <f t="shared" si="21"/>
        <v>0</v>
      </c>
      <c r="AV23" s="61">
        <f t="shared" si="21"/>
        <v>0</v>
      </c>
      <c r="AW23" s="61">
        <f t="shared" si="21"/>
        <v>0</v>
      </c>
      <c r="AX23" s="61">
        <f t="shared" si="21"/>
        <v>0</v>
      </c>
      <c r="AY23" s="61">
        <f t="shared" si="21"/>
        <v>0</v>
      </c>
      <c r="AZ23" s="61">
        <f t="shared" si="21"/>
        <v>0</v>
      </c>
      <c r="BA23" s="61">
        <f t="shared" si="21"/>
        <v>0</v>
      </c>
      <c r="BB23" s="61">
        <f t="shared" si="21"/>
        <v>0</v>
      </c>
      <c r="BC23" s="61">
        <f t="shared" si="21"/>
        <v>0</v>
      </c>
      <c r="BD23" s="61">
        <f t="shared" si="21"/>
        <v>0</v>
      </c>
      <c r="BE23" s="61">
        <f t="shared" si="21"/>
        <v>0</v>
      </c>
      <c r="BF23" s="61">
        <f t="shared" si="21"/>
        <v>0</v>
      </c>
      <c r="BG23" s="61">
        <f t="shared" si="21"/>
        <v>0</v>
      </c>
      <c r="BH23" s="61">
        <f t="shared" si="21"/>
        <v>0</v>
      </c>
      <c r="BI23" s="61">
        <f t="shared" si="21"/>
        <v>0</v>
      </c>
      <c r="BJ23" s="61">
        <f t="shared" si="21"/>
        <v>0</v>
      </c>
      <c r="BK23" s="61">
        <f t="shared" si="21"/>
        <v>0</v>
      </c>
      <c r="BL23" s="61">
        <f t="shared" si="21"/>
        <v>0</v>
      </c>
      <c r="BM23" s="61">
        <f t="shared" si="21"/>
        <v>0</v>
      </c>
      <c r="BN23" s="61">
        <f t="shared" si="21"/>
        <v>0</v>
      </c>
      <c r="BO23" s="61">
        <f t="shared" si="21"/>
        <v>0</v>
      </c>
      <c r="BP23" s="61">
        <f t="shared" si="21"/>
        <v>0</v>
      </c>
      <c r="BR23" s="61">
        <f t="shared" si="18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2">AE27+AE49+AE71</f>
        <v>0</v>
      </c>
      <c r="E24" s="61">
        <f t="shared" si="22"/>
        <v>0</v>
      </c>
      <c r="F24" s="61">
        <f t="shared" si="22"/>
        <v>0</v>
      </c>
      <c r="G24" s="61">
        <f t="shared" si="22"/>
        <v>0</v>
      </c>
      <c r="H24" s="61">
        <f t="shared" si="22"/>
        <v>0</v>
      </c>
      <c r="I24" s="61">
        <f t="shared" si="22"/>
        <v>0</v>
      </c>
      <c r="J24" s="63"/>
      <c r="K24" s="61">
        <f>AL27+AL49+AL71</f>
        <v>109.8545</v>
      </c>
      <c r="L24" s="52"/>
      <c r="M24" s="100"/>
      <c r="P24">
        <v>18</v>
      </c>
      <c r="Q24" s="39"/>
      <c r="R24" s="39"/>
      <c r="S24" s="278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3">IF(AT$4=6,AT$15,0)</f>
        <v>0</v>
      </c>
      <c r="AU24" s="61">
        <f t="shared" si="23"/>
        <v>0</v>
      </c>
      <c r="AV24" s="61">
        <f t="shared" si="23"/>
        <v>0</v>
      </c>
      <c r="AW24" s="61">
        <f t="shared" si="23"/>
        <v>0</v>
      </c>
      <c r="AX24" s="61">
        <f t="shared" si="23"/>
        <v>0</v>
      </c>
      <c r="AY24" s="61">
        <f t="shared" si="23"/>
        <v>0</v>
      </c>
      <c r="AZ24" s="61">
        <f t="shared" si="23"/>
        <v>0</v>
      </c>
      <c r="BA24" s="61">
        <f t="shared" si="23"/>
        <v>0</v>
      </c>
      <c r="BB24" s="61">
        <f t="shared" si="23"/>
        <v>0</v>
      </c>
      <c r="BC24" s="61">
        <f t="shared" si="23"/>
        <v>0</v>
      </c>
      <c r="BD24" s="61">
        <f t="shared" si="23"/>
        <v>0</v>
      </c>
      <c r="BE24" s="61">
        <f t="shared" si="23"/>
        <v>0</v>
      </c>
      <c r="BF24" s="61">
        <f t="shared" si="23"/>
        <v>0</v>
      </c>
      <c r="BG24" s="61">
        <f t="shared" si="23"/>
        <v>0</v>
      </c>
      <c r="BH24" s="61">
        <f t="shared" si="23"/>
        <v>0</v>
      </c>
      <c r="BI24" s="61">
        <f t="shared" si="23"/>
        <v>0</v>
      </c>
      <c r="BJ24" s="61">
        <f t="shared" si="23"/>
        <v>0</v>
      </c>
      <c r="BK24" s="61">
        <f t="shared" si="23"/>
        <v>0</v>
      </c>
      <c r="BL24" s="61">
        <f t="shared" si="23"/>
        <v>0</v>
      </c>
      <c r="BM24" s="61">
        <f t="shared" si="23"/>
        <v>0</v>
      </c>
      <c r="BN24" s="61">
        <f t="shared" si="23"/>
        <v>0</v>
      </c>
      <c r="BO24" s="61">
        <f t="shared" si="23"/>
        <v>0</v>
      </c>
      <c r="BP24" s="61">
        <f t="shared" si="23"/>
        <v>0</v>
      </c>
      <c r="BR24" s="61">
        <f t="shared" si="18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186.79999999999998</v>
      </c>
      <c r="L25" s="63"/>
      <c r="M25" s="100"/>
      <c r="P25">
        <v>19</v>
      </c>
      <c r="Q25" s="39"/>
      <c r="R25" s="39"/>
      <c r="S25" s="278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8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4">D24-D25</f>
        <v>0</v>
      </c>
      <c r="E27" s="93">
        <f t="shared" si="24"/>
        <v>0</v>
      </c>
      <c r="F27" s="93">
        <f t="shared" si="24"/>
        <v>0</v>
      </c>
      <c r="G27" s="93">
        <f t="shared" si="24"/>
        <v>0</v>
      </c>
      <c r="H27" s="93">
        <f t="shared" si="24"/>
        <v>0</v>
      </c>
      <c r="I27" s="93">
        <f t="shared" si="24"/>
        <v>0</v>
      </c>
      <c r="J27" s="63"/>
      <c r="K27" s="93">
        <f>K24-K25</f>
        <v>-76.945499999999981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5">SUM(AF7:AF26)</f>
        <v>0</v>
      </c>
      <c r="AG27" s="75">
        <f t="shared" si="25"/>
        <v>0</v>
      </c>
      <c r="AH27" s="75">
        <f t="shared" si="25"/>
        <v>0</v>
      </c>
      <c r="AI27" s="75">
        <f t="shared" si="25"/>
        <v>0</v>
      </c>
      <c r="AJ27" s="75">
        <f t="shared" si="25"/>
        <v>0</v>
      </c>
      <c r="AK27"/>
      <c r="AL27" s="75">
        <f>SUM(AL7:AL26)</f>
        <v>59.537749999999996</v>
      </c>
      <c r="AQ27" s="32" t="s">
        <v>476</v>
      </c>
      <c r="AR27" s="69">
        <v>1</v>
      </c>
      <c r="AS27" s="61">
        <f>IF(AS$4=1,AS$16,0)</f>
        <v>0</v>
      </c>
      <c r="AT27" s="61">
        <f t="shared" ref="AT27:BP27" si="26">IF(AT$4=1,AT$16,0)</f>
        <v>0</v>
      </c>
      <c r="AU27" s="61">
        <f t="shared" si="26"/>
        <v>0</v>
      </c>
      <c r="AV27" s="61">
        <f t="shared" si="26"/>
        <v>0</v>
      </c>
      <c r="AW27" s="61">
        <f t="shared" si="26"/>
        <v>0</v>
      </c>
      <c r="AX27" s="61">
        <f t="shared" si="26"/>
        <v>0</v>
      </c>
      <c r="AY27" s="61">
        <f t="shared" si="26"/>
        <v>0</v>
      </c>
      <c r="AZ27" s="61">
        <f t="shared" si="26"/>
        <v>0</v>
      </c>
      <c r="BA27" s="61">
        <f t="shared" si="26"/>
        <v>0</v>
      </c>
      <c r="BB27" s="61">
        <f t="shared" si="26"/>
        <v>0</v>
      </c>
      <c r="BC27" s="61">
        <f t="shared" si="26"/>
        <v>0</v>
      </c>
      <c r="BD27" s="61">
        <f t="shared" si="26"/>
        <v>0</v>
      </c>
      <c r="BE27" s="61">
        <f t="shared" si="26"/>
        <v>0</v>
      </c>
      <c r="BF27" s="61">
        <f t="shared" si="26"/>
        <v>0</v>
      </c>
      <c r="BG27" s="61">
        <f t="shared" si="26"/>
        <v>0</v>
      </c>
      <c r="BH27" s="61">
        <f t="shared" si="26"/>
        <v>0</v>
      </c>
      <c r="BI27" s="61">
        <f t="shared" si="26"/>
        <v>0</v>
      </c>
      <c r="BJ27" s="61">
        <f t="shared" si="26"/>
        <v>0</v>
      </c>
      <c r="BK27" s="61">
        <f t="shared" si="26"/>
        <v>0</v>
      </c>
      <c r="BL27" s="61">
        <f t="shared" si="26"/>
        <v>0</v>
      </c>
      <c r="BM27" s="61">
        <f t="shared" si="26"/>
        <v>0</v>
      </c>
      <c r="BN27" s="61">
        <f t="shared" si="26"/>
        <v>0</v>
      </c>
      <c r="BO27" s="61">
        <f t="shared" si="26"/>
        <v>0</v>
      </c>
      <c r="BP27" s="61">
        <f t="shared" si="26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7">IF(AT$4=2,AT$16,0)</f>
        <v>0</v>
      </c>
      <c r="AU28" s="61">
        <f t="shared" si="27"/>
        <v>0</v>
      </c>
      <c r="AV28" s="61">
        <f t="shared" si="27"/>
        <v>0</v>
      </c>
      <c r="AW28" s="61">
        <f t="shared" si="27"/>
        <v>0</v>
      </c>
      <c r="AX28" s="61">
        <f t="shared" si="27"/>
        <v>0</v>
      </c>
      <c r="AY28" s="61">
        <f t="shared" si="27"/>
        <v>0</v>
      </c>
      <c r="AZ28" s="61">
        <f t="shared" si="27"/>
        <v>0</v>
      </c>
      <c r="BA28" s="61">
        <f t="shared" si="27"/>
        <v>0</v>
      </c>
      <c r="BB28" s="61">
        <f t="shared" si="27"/>
        <v>0</v>
      </c>
      <c r="BC28" s="61">
        <f t="shared" si="27"/>
        <v>0</v>
      </c>
      <c r="BD28" s="61">
        <f t="shared" si="27"/>
        <v>0</v>
      </c>
      <c r="BE28" s="61">
        <f t="shared" si="27"/>
        <v>0</v>
      </c>
      <c r="BF28" s="61">
        <f t="shared" si="27"/>
        <v>0</v>
      </c>
      <c r="BG28" s="61">
        <f t="shared" si="27"/>
        <v>0</v>
      </c>
      <c r="BH28" s="61">
        <f t="shared" si="27"/>
        <v>0</v>
      </c>
      <c r="BI28" s="61">
        <f t="shared" si="27"/>
        <v>0</v>
      </c>
      <c r="BJ28" s="61">
        <f t="shared" si="27"/>
        <v>0</v>
      </c>
      <c r="BK28" s="61">
        <f t="shared" si="27"/>
        <v>0</v>
      </c>
      <c r="BL28" s="61">
        <f t="shared" si="27"/>
        <v>0</v>
      </c>
      <c r="BM28" s="61">
        <f t="shared" si="27"/>
        <v>0</v>
      </c>
      <c r="BN28" s="61">
        <f t="shared" si="27"/>
        <v>0</v>
      </c>
      <c r="BO28" s="61">
        <f t="shared" si="27"/>
        <v>0</v>
      </c>
      <c r="BP28" s="61">
        <f t="shared" si="27"/>
        <v>0</v>
      </c>
      <c r="BR28" s="61">
        <f t="shared" ref="BR28:BR32" si="28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9.5</v>
      </c>
      <c r="P29">
        <v>1</v>
      </c>
      <c r="Q29" s="39">
        <v>15</v>
      </c>
      <c r="R29" s="39">
        <v>4.5</v>
      </c>
      <c r="S29" s="278" t="str">
        <f>VLOOKUP($Q29,[1]MEP!$A$5:$D$300,3)</f>
        <v xml:space="preserve">PP bonne 2 coupes </v>
      </c>
      <c r="T29" s="76" t="str">
        <f>VLOOKUP($Q29,[1]MEP!$A$5:$D$300,4)</f>
        <v>zone 1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5.2965000000000009</v>
      </c>
      <c r="AE29" s="61">
        <f t="shared" ref="AE29:AE48" si="29">$R29*V29</f>
        <v>0</v>
      </c>
      <c r="AF29" s="61">
        <f t="shared" ref="AF29:AF48" si="30">$R29*W29</f>
        <v>0</v>
      </c>
      <c r="AG29" s="61">
        <f t="shared" ref="AG29:AG48" si="31">$R29*X29</f>
        <v>0</v>
      </c>
      <c r="AH29" s="61">
        <f t="shared" ref="AH29:AH48" si="32">$R29*Y29</f>
        <v>0</v>
      </c>
      <c r="AI29" s="61">
        <f t="shared" ref="AI29:AI48" si="33">$R29*Z29</f>
        <v>0</v>
      </c>
      <c r="AJ29" s="61">
        <f t="shared" ref="AJ29:AJ48" si="34">$R29*AA29</f>
        <v>0</v>
      </c>
      <c r="AK29"/>
      <c r="AL29" s="61">
        <f t="shared" ref="AL29:AL48" si="35">R29*AC29</f>
        <v>23.834250000000004</v>
      </c>
      <c r="AR29" s="69">
        <v>3</v>
      </c>
      <c r="AS29" s="61">
        <f>IF(AS$4=3,AS$16,0)</f>
        <v>0</v>
      </c>
      <c r="AT29" s="61">
        <f t="shared" ref="AT29:BP29" si="36">IF(AT$4=3,AT$16,0)</f>
        <v>0</v>
      </c>
      <c r="AU29" s="61">
        <f t="shared" si="36"/>
        <v>0</v>
      </c>
      <c r="AV29" s="61">
        <f t="shared" si="36"/>
        <v>0</v>
      </c>
      <c r="AW29" s="61">
        <f t="shared" si="36"/>
        <v>0</v>
      </c>
      <c r="AX29" s="61">
        <f t="shared" si="36"/>
        <v>0</v>
      </c>
      <c r="AY29" s="61">
        <f t="shared" si="36"/>
        <v>0</v>
      </c>
      <c r="AZ29" s="61">
        <f t="shared" si="36"/>
        <v>0</v>
      </c>
      <c r="BA29" s="61">
        <f t="shared" si="36"/>
        <v>0</v>
      </c>
      <c r="BB29" s="61">
        <f t="shared" si="36"/>
        <v>0</v>
      </c>
      <c r="BC29" s="61">
        <f t="shared" si="36"/>
        <v>0</v>
      </c>
      <c r="BD29" s="61">
        <f t="shared" si="36"/>
        <v>0</v>
      </c>
      <c r="BE29" s="61">
        <f t="shared" si="36"/>
        <v>0</v>
      </c>
      <c r="BF29" s="61">
        <f t="shared" si="36"/>
        <v>0</v>
      </c>
      <c r="BG29" s="61">
        <f t="shared" si="36"/>
        <v>0</v>
      </c>
      <c r="BH29" s="61">
        <f t="shared" si="36"/>
        <v>0</v>
      </c>
      <c r="BI29" s="61">
        <f t="shared" si="36"/>
        <v>0</v>
      </c>
      <c r="BJ29" s="61">
        <f t="shared" si="36"/>
        <v>0</v>
      </c>
      <c r="BK29" s="61">
        <f t="shared" si="36"/>
        <v>0</v>
      </c>
      <c r="BL29" s="61">
        <f t="shared" si="36"/>
        <v>0</v>
      </c>
      <c r="BM29" s="61">
        <f t="shared" si="36"/>
        <v>0</v>
      </c>
      <c r="BN29" s="61">
        <f t="shared" si="36"/>
        <v>0</v>
      </c>
      <c r="BO29" s="61">
        <f t="shared" si="36"/>
        <v>0</v>
      </c>
      <c r="BP29" s="61">
        <f t="shared" si="36"/>
        <v>0</v>
      </c>
      <c r="BR29" s="61">
        <f t="shared" si="28"/>
        <v>0</v>
      </c>
    </row>
    <row r="30" spans="2:72" ht="15" customHeight="1" x14ac:dyDescent="0.25">
      <c r="N30" s="17" t="s">
        <v>88</v>
      </c>
      <c r="O30" s="42">
        <f>SUM(R29:R48)</f>
        <v>9.5</v>
      </c>
      <c r="P30">
        <v>2</v>
      </c>
      <c r="Q30" s="39"/>
      <c r="R30" s="39"/>
      <c r="S30" s="278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9"/>
        <v>0</v>
      </c>
      <c r="AF30" s="61">
        <f t="shared" si="30"/>
        <v>0</v>
      </c>
      <c r="AG30" s="61">
        <f t="shared" si="31"/>
        <v>0</v>
      </c>
      <c r="AH30" s="61">
        <f t="shared" si="32"/>
        <v>0</v>
      </c>
      <c r="AI30" s="61">
        <f t="shared" si="33"/>
        <v>0</v>
      </c>
      <c r="AJ30" s="61">
        <f t="shared" si="34"/>
        <v>0</v>
      </c>
      <c r="AK30"/>
      <c r="AL30" s="61">
        <f t="shared" si="35"/>
        <v>0</v>
      </c>
      <c r="AR30" s="70">
        <v>4</v>
      </c>
      <c r="AS30" s="61">
        <f>IF(AS$4=4,AS$16,0)</f>
        <v>0</v>
      </c>
      <c r="AT30" s="61">
        <f t="shared" ref="AT30:BP30" si="37">IF(AT$4=4,AT$16,0)</f>
        <v>0</v>
      </c>
      <c r="AU30" s="61">
        <f t="shared" si="37"/>
        <v>0</v>
      </c>
      <c r="AV30" s="61">
        <f t="shared" si="37"/>
        <v>0</v>
      </c>
      <c r="AW30" s="61">
        <f t="shared" si="37"/>
        <v>0</v>
      </c>
      <c r="AX30" s="61">
        <f t="shared" si="37"/>
        <v>0</v>
      </c>
      <c r="AY30" s="61">
        <f t="shared" si="37"/>
        <v>0</v>
      </c>
      <c r="AZ30" s="61">
        <f t="shared" si="37"/>
        <v>0</v>
      </c>
      <c r="BA30" s="61">
        <f t="shared" si="37"/>
        <v>0</v>
      </c>
      <c r="BB30" s="61">
        <f t="shared" si="37"/>
        <v>0</v>
      </c>
      <c r="BC30" s="61">
        <f t="shared" si="37"/>
        <v>0</v>
      </c>
      <c r="BD30" s="61">
        <f t="shared" si="37"/>
        <v>0</v>
      </c>
      <c r="BE30" s="61">
        <f t="shared" si="37"/>
        <v>0</v>
      </c>
      <c r="BF30" s="61">
        <f t="shared" si="37"/>
        <v>0</v>
      </c>
      <c r="BG30" s="61">
        <f t="shared" si="37"/>
        <v>0</v>
      </c>
      <c r="BH30" s="61">
        <f t="shared" si="37"/>
        <v>0</v>
      </c>
      <c r="BI30" s="61">
        <f t="shared" si="37"/>
        <v>0</v>
      </c>
      <c r="BJ30" s="61">
        <f t="shared" si="37"/>
        <v>0</v>
      </c>
      <c r="BK30" s="61">
        <f t="shared" si="37"/>
        <v>0</v>
      </c>
      <c r="BL30" s="61">
        <f t="shared" si="37"/>
        <v>0</v>
      </c>
      <c r="BM30" s="61">
        <f t="shared" si="37"/>
        <v>0</v>
      </c>
      <c r="BN30" s="61">
        <f t="shared" si="37"/>
        <v>0</v>
      </c>
      <c r="BO30" s="61">
        <f t="shared" si="37"/>
        <v>0</v>
      </c>
      <c r="BP30" s="61">
        <f t="shared" si="37"/>
        <v>0</v>
      </c>
      <c r="BR30" s="61">
        <f t="shared" si="28"/>
        <v>0</v>
      </c>
    </row>
    <row r="31" spans="2:72" ht="15" customHeight="1" x14ac:dyDescent="0.25">
      <c r="D31" s="43" t="s">
        <v>311</v>
      </c>
      <c r="P31">
        <v>3</v>
      </c>
      <c r="Q31" s="39">
        <v>15</v>
      </c>
      <c r="R31" s="39">
        <v>3</v>
      </c>
      <c r="S31" s="278" t="str">
        <f>VLOOKUP($Q31,[1]MEP!$A$5:$D$300,3)</f>
        <v xml:space="preserve">PP bonne 2 coupes </v>
      </c>
      <c r="T31" s="76" t="str">
        <f>VLOOKUP($Q31,[1]MEP!$A$5:$D$300,4)</f>
        <v>zone 1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5.2965000000000009</v>
      </c>
      <c r="AE31" s="61">
        <f t="shared" ref="AE31:AJ32" si="38">$R31*V31</f>
        <v>0</v>
      </c>
      <c r="AF31" s="61">
        <f t="shared" si="38"/>
        <v>0</v>
      </c>
      <c r="AG31" s="61">
        <f t="shared" si="38"/>
        <v>0</v>
      </c>
      <c r="AH31" s="61">
        <f t="shared" si="38"/>
        <v>0</v>
      </c>
      <c r="AI31" s="61">
        <f t="shared" si="38"/>
        <v>0</v>
      </c>
      <c r="AJ31" s="61">
        <f t="shared" si="38"/>
        <v>0</v>
      </c>
      <c r="AK31"/>
      <c r="AL31" s="61">
        <f>R31*AC31</f>
        <v>15.889500000000002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0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8"/>
        <v>0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39">
        <v>15</v>
      </c>
      <c r="R32" s="39">
        <v>2</v>
      </c>
      <c r="S32" s="278" t="str">
        <f>VLOOKUP($Q32,[1]MEP!$A$5:$D$300,3)</f>
        <v xml:space="preserve">PP bonne 2 coupes </v>
      </c>
      <c r="T32" s="76" t="str">
        <f>VLOOKUP($Q32,[1]MEP!$A$5:$D$300,4)</f>
        <v>zone 1</v>
      </c>
      <c r="U32" s="76" t="str">
        <f>VLOOKUP($Q32,[1]MEP!$A$4:$K$300,2)</f>
        <v>F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5.2965000000000009</v>
      </c>
      <c r="AE32" s="61">
        <f t="shared" si="38"/>
        <v>0</v>
      </c>
      <c r="AF32" s="61">
        <f t="shared" si="38"/>
        <v>0</v>
      </c>
      <c r="AG32" s="61">
        <f t="shared" si="38"/>
        <v>0</v>
      </c>
      <c r="AH32" s="61">
        <f t="shared" si="38"/>
        <v>0</v>
      </c>
      <c r="AI32" s="61">
        <f t="shared" si="38"/>
        <v>0</v>
      </c>
      <c r="AJ32" s="61">
        <f t="shared" si="38"/>
        <v>0</v>
      </c>
      <c r="AK32"/>
      <c r="AL32" s="61">
        <f>R32*AC32</f>
        <v>10.593000000000002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8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78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9"/>
        <v>0</v>
      </c>
      <c r="AF33" s="61">
        <f t="shared" si="30"/>
        <v>0</v>
      </c>
      <c r="AG33" s="61">
        <f t="shared" si="31"/>
        <v>0</v>
      </c>
      <c r="AH33" s="61">
        <f t="shared" si="32"/>
        <v>0</v>
      </c>
      <c r="AI33" s="61">
        <f t="shared" si="33"/>
        <v>0</v>
      </c>
      <c r="AJ33" s="61">
        <f t="shared" si="34"/>
        <v>0</v>
      </c>
      <c r="AK33"/>
      <c r="AL33" s="61">
        <f t="shared" si="35"/>
        <v>0</v>
      </c>
      <c r="AM33" s="32"/>
      <c r="AT33" s="5"/>
      <c r="BS33"/>
      <c r="BT33" s="82"/>
    </row>
    <row r="34" spans="2:73" x14ac:dyDescent="0.25">
      <c r="B34" s="278" t="str">
        <f>VLOOKUP($D34,[1]Cult!$A$5:$F$61,2)</f>
        <v xml:space="preserve">maïs ensil zone 1 </v>
      </c>
      <c r="D34" s="39">
        <v>6</v>
      </c>
      <c r="E34" s="39">
        <v>2.1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0</v>
      </c>
      <c r="M34" s="61">
        <f t="shared" ref="M34:M43" si="43">E34*H34</f>
        <v>27.3</v>
      </c>
      <c r="P34">
        <v>6</v>
      </c>
      <c r="Q34" s="39"/>
      <c r="R34" s="39"/>
      <c r="S34" s="278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9"/>
        <v>0</v>
      </c>
      <c r="AF34" s="61">
        <f t="shared" si="30"/>
        <v>0</v>
      </c>
      <c r="AG34" s="61">
        <f t="shared" si="31"/>
        <v>0</v>
      </c>
      <c r="AH34" s="61">
        <f t="shared" si="32"/>
        <v>0</v>
      </c>
      <c r="AI34" s="61">
        <f t="shared" si="33"/>
        <v>0</v>
      </c>
      <c r="AJ34" s="61">
        <f t="shared" si="34"/>
        <v>0</v>
      </c>
      <c r="AK34"/>
      <c r="AL34" s="61">
        <f t="shared" si="35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landes litières fougère (F ou F/P) toutes zones</v>
      </c>
      <c r="D35" s="39">
        <v>28</v>
      </c>
      <c r="E35" s="39">
        <v>9.6999999999999993</v>
      </c>
      <c r="F35" s="76">
        <f>VLOOKUP($D35,[1]Cult!$A$5:$F$61,3)</f>
        <v>0</v>
      </c>
      <c r="G35" s="76">
        <f>VLOOKUP($D35,[1]Cult!$A$5:$F$61,4)</f>
        <v>3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29.099999999999998</v>
      </c>
      <c r="M35" s="61">
        <f t="shared" si="43"/>
        <v>0</v>
      </c>
      <c r="P35">
        <v>7</v>
      </c>
      <c r="Q35" s="39"/>
      <c r="R35" s="39"/>
      <c r="S35" s="278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9"/>
        <v>0</v>
      </c>
      <c r="AF35" s="61">
        <f t="shared" si="30"/>
        <v>0</v>
      </c>
      <c r="AG35" s="61">
        <f t="shared" si="31"/>
        <v>0</v>
      </c>
      <c r="AH35" s="61">
        <f t="shared" si="32"/>
        <v>0</v>
      </c>
      <c r="AI35" s="61">
        <f t="shared" si="33"/>
        <v>0</v>
      </c>
      <c r="AJ35" s="61">
        <f t="shared" si="34"/>
        <v>0</v>
      </c>
      <c r="AK35"/>
      <c r="AL35" s="61">
        <f t="shared" si="35"/>
        <v>0</v>
      </c>
      <c r="AN35" s="37"/>
      <c r="AO35" s="37"/>
      <c r="AP35" s="37"/>
      <c r="AQ35" s="32" t="s">
        <v>477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0</v>
      </c>
      <c r="AZ35" s="61">
        <f t="shared" si="45"/>
        <v>0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78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9"/>
        <v>0</v>
      </c>
      <c r="AF36" s="61">
        <f t="shared" si="30"/>
        <v>0</v>
      </c>
      <c r="AG36" s="61">
        <f t="shared" si="31"/>
        <v>0</v>
      </c>
      <c r="AH36" s="61">
        <f t="shared" si="32"/>
        <v>0</v>
      </c>
      <c r="AI36" s="61">
        <f t="shared" si="33"/>
        <v>0</v>
      </c>
      <c r="AJ36" s="61">
        <f t="shared" si="34"/>
        <v>0</v>
      </c>
      <c r="AK36"/>
      <c r="AL36" s="61">
        <f t="shared" si="35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P37">
        <v>9</v>
      </c>
      <c r="Q37" s="39"/>
      <c r="R37" s="39"/>
      <c r="S37" s="278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9"/>
        <v>0</v>
      </c>
      <c r="AF37" s="61">
        <f t="shared" si="30"/>
        <v>0</v>
      </c>
      <c r="AG37" s="61">
        <f t="shared" si="31"/>
        <v>0</v>
      </c>
      <c r="AH37" s="61">
        <f t="shared" si="32"/>
        <v>0</v>
      </c>
      <c r="AI37" s="61">
        <f t="shared" si="33"/>
        <v>0</v>
      </c>
      <c r="AJ37" s="61">
        <f t="shared" si="34"/>
        <v>0</v>
      </c>
      <c r="AK37"/>
      <c r="AL37" s="61">
        <f t="shared" si="35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78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9"/>
        <v>0</v>
      </c>
      <c r="AF38" s="61">
        <f t="shared" si="30"/>
        <v>0</v>
      </c>
      <c r="AG38" s="61">
        <f t="shared" si="31"/>
        <v>0</v>
      </c>
      <c r="AH38" s="61">
        <f t="shared" si="32"/>
        <v>0</v>
      </c>
      <c r="AI38" s="61">
        <f t="shared" si="33"/>
        <v>0</v>
      </c>
      <c r="AJ38" s="61">
        <f t="shared" si="34"/>
        <v>0</v>
      </c>
      <c r="AK38"/>
      <c r="AL38" s="61">
        <f t="shared" si="35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78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9"/>
        <v>0</v>
      </c>
      <c r="AF39" s="61">
        <f t="shared" si="30"/>
        <v>0</v>
      </c>
      <c r="AG39" s="61">
        <f t="shared" si="31"/>
        <v>0</v>
      </c>
      <c r="AH39" s="61">
        <f t="shared" si="32"/>
        <v>0</v>
      </c>
      <c r="AI39" s="61">
        <f t="shared" si="33"/>
        <v>0</v>
      </c>
      <c r="AJ39" s="61">
        <f t="shared" si="34"/>
        <v>0</v>
      </c>
      <c r="AK39"/>
      <c r="AL39" s="61">
        <f t="shared" si="35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78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9"/>
        <v>0</v>
      </c>
      <c r="AF40" s="61">
        <f t="shared" si="30"/>
        <v>0</v>
      </c>
      <c r="AG40" s="61">
        <f t="shared" si="31"/>
        <v>0</v>
      </c>
      <c r="AH40" s="61">
        <f t="shared" si="32"/>
        <v>0</v>
      </c>
      <c r="AI40" s="61">
        <f t="shared" si="33"/>
        <v>0</v>
      </c>
      <c r="AJ40" s="61">
        <f t="shared" si="34"/>
        <v>0</v>
      </c>
      <c r="AK40"/>
      <c r="AL40" s="61">
        <f t="shared" si="35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78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9"/>
        <v>0</v>
      </c>
      <c r="AF41" s="61">
        <f t="shared" si="30"/>
        <v>0</v>
      </c>
      <c r="AG41" s="61">
        <f t="shared" si="31"/>
        <v>0</v>
      </c>
      <c r="AH41" s="61">
        <f t="shared" si="32"/>
        <v>0</v>
      </c>
      <c r="AI41" s="61">
        <f t="shared" si="33"/>
        <v>0</v>
      </c>
      <c r="AJ41" s="61">
        <f t="shared" si="34"/>
        <v>0</v>
      </c>
      <c r="AK41"/>
      <c r="AL41" s="61">
        <f t="shared" si="35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78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9"/>
        <v>0</v>
      </c>
      <c r="AF42" s="61">
        <f t="shared" si="30"/>
        <v>0</v>
      </c>
      <c r="AG42" s="61">
        <f t="shared" si="31"/>
        <v>0</v>
      </c>
      <c r="AH42" s="61">
        <f t="shared" si="32"/>
        <v>0</v>
      </c>
      <c r="AI42" s="61">
        <f t="shared" si="33"/>
        <v>0</v>
      </c>
      <c r="AJ42" s="61">
        <f t="shared" si="34"/>
        <v>0</v>
      </c>
      <c r="AK42"/>
      <c r="AL42" s="61">
        <f t="shared" si="35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78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9"/>
        <v>0</v>
      </c>
      <c r="AF43" s="61">
        <f t="shared" si="30"/>
        <v>0</v>
      </c>
      <c r="AG43" s="61">
        <f t="shared" si="31"/>
        <v>0</v>
      </c>
      <c r="AH43" s="61">
        <f t="shared" si="32"/>
        <v>0</v>
      </c>
      <c r="AI43" s="61">
        <f t="shared" si="33"/>
        <v>0</v>
      </c>
      <c r="AJ43" s="61">
        <f t="shared" si="34"/>
        <v>0</v>
      </c>
      <c r="AK43"/>
      <c r="AL43" s="61">
        <f t="shared" si="35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8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9"/>
        <v>0</v>
      </c>
      <c r="AF44" s="61">
        <f t="shared" si="30"/>
        <v>0</v>
      </c>
      <c r="AG44" s="61">
        <f t="shared" si="31"/>
        <v>0</v>
      </c>
      <c r="AH44" s="61">
        <f t="shared" si="32"/>
        <v>0</v>
      </c>
      <c r="AI44" s="61">
        <f t="shared" si="33"/>
        <v>0</v>
      </c>
      <c r="AJ44" s="61">
        <f t="shared" si="34"/>
        <v>0</v>
      </c>
      <c r="AK44"/>
      <c r="AL44" s="61">
        <f t="shared" si="35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8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9"/>
        <v>0</v>
      </c>
      <c r="AF45" s="61">
        <f t="shared" si="30"/>
        <v>0</v>
      </c>
      <c r="AG45" s="61">
        <f t="shared" si="31"/>
        <v>0</v>
      </c>
      <c r="AH45" s="61">
        <f t="shared" si="32"/>
        <v>0</v>
      </c>
      <c r="AI45" s="61">
        <f t="shared" si="33"/>
        <v>0</v>
      </c>
      <c r="AJ45" s="61">
        <f t="shared" si="34"/>
        <v>0</v>
      </c>
      <c r="AK45"/>
      <c r="AL45" s="61">
        <f t="shared" si="35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8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9"/>
        <v>0</v>
      </c>
      <c r="AF46" s="61">
        <f t="shared" si="30"/>
        <v>0</v>
      </c>
      <c r="AG46" s="61">
        <f t="shared" si="31"/>
        <v>0</v>
      </c>
      <c r="AH46" s="61">
        <f t="shared" si="32"/>
        <v>0</v>
      </c>
      <c r="AI46" s="61">
        <f t="shared" si="33"/>
        <v>0</v>
      </c>
      <c r="AJ46" s="61">
        <f t="shared" si="34"/>
        <v>0</v>
      </c>
      <c r="AK46"/>
      <c r="AL46" s="61">
        <f t="shared" si="35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8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9"/>
        <v>0</v>
      </c>
      <c r="AF47" s="61">
        <f t="shared" si="30"/>
        <v>0</v>
      </c>
      <c r="AG47" s="61">
        <f t="shared" si="31"/>
        <v>0</v>
      </c>
      <c r="AH47" s="61">
        <f t="shared" si="32"/>
        <v>0</v>
      </c>
      <c r="AI47" s="61">
        <f t="shared" si="33"/>
        <v>0</v>
      </c>
      <c r="AJ47" s="61">
        <f t="shared" si="34"/>
        <v>0</v>
      </c>
      <c r="AK47"/>
      <c r="AL47" s="61">
        <f t="shared" si="35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78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9"/>
        <v>0</v>
      </c>
      <c r="AF48" s="61">
        <f t="shared" si="30"/>
        <v>0</v>
      </c>
      <c r="AG48" s="61">
        <f t="shared" si="31"/>
        <v>0</v>
      </c>
      <c r="AH48" s="61">
        <f t="shared" si="32"/>
        <v>0</v>
      </c>
      <c r="AI48" s="61">
        <f t="shared" si="33"/>
        <v>0</v>
      </c>
      <c r="AJ48" s="61">
        <f t="shared" si="34"/>
        <v>0</v>
      </c>
      <c r="AK48"/>
      <c r="AL48" s="61">
        <f t="shared" si="35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0</v>
      </c>
      <c r="AF49" s="75">
        <f t="shared" ref="AF49" si="52">SUM(AF29:AF48)</f>
        <v>0</v>
      </c>
      <c r="AG49" s="75">
        <f t="shared" ref="AG49" si="53">SUM(AG29:AG48)</f>
        <v>0</v>
      </c>
      <c r="AH49" s="75">
        <f t="shared" ref="AH49" si="54">SUM(AH29:AH48)</f>
        <v>0</v>
      </c>
      <c r="AI49" s="75">
        <f t="shared" ref="AI49" si="55">SUM(AI29:AI48)</f>
        <v>0</v>
      </c>
      <c r="AJ49" s="75">
        <f t="shared" ref="AJ49" si="56">SUM(AJ29:AJ48)</f>
        <v>0</v>
      </c>
      <c r="AK49"/>
      <c r="AL49" s="75">
        <f>SUM(AL29:AL48)</f>
        <v>50.316750000000013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270</v>
      </c>
      <c r="O51" s="39">
        <v>9.6999999999999993</v>
      </c>
      <c r="P51">
        <v>1</v>
      </c>
      <c r="Q51" s="39">
        <v>47</v>
      </c>
      <c r="R51" s="39">
        <v>9.6999999999999993</v>
      </c>
      <c r="S51" s="278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88</v>
      </c>
      <c r="O52" s="42">
        <f>SUM(R51:R70)</f>
        <v>9.6999999999999993</v>
      </c>
      <c r="P52">
        <v>2</v>
      </c>
      <c r="Q52" s="39"/>
      <c r="R52" s="39"/>
      <c r="S52" s="278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78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78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78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78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78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78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78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78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78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8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8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8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8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1" t="s">
        <v>469</v>
      </c>
      <c r="C66" s="161"/>
      <c r="D66" s="161"/>
      <c r="E66" s="161"/>
      <c r="F66" s="161"/>
      <c r="G66" s="162" t="s">
        <v>470</v>
      </c>
      <c r="H66" s="162"/>
      <c r="P66">
        <v>16</v>
      </c>
      <c r="Q66" s="39"/>
      <c r="R66" s="39"/>
      <c r="S66" s="278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8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8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3" t="s">
        <v>471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78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78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0</v>
      </c>
      <c r="E72" s="61">
        <f t="shared" ref="E72:H72" si="71">AF27</f>
        <v>0</v>
      </c>
      <c r="F72" s="61">
        <f t="shared" si="71"/>
        <v>0</v>
      </c>
      <c r="G72" s="61">
        <f t="shared" si="71"/>
        <v>0</v>
      </c>
      <c r="H72" s="61">
        <f t="shared" si="71"/>
        <v>0</v>
      </c>
      <c r="I72" s="61">
        <f t="shared" ref="I72" si="72">AJ75+AJ97+AJ119</f>
        <v>0</v>
      </c>
      <c r="J72" s="63"/>
      <c r="K72" s="61">
        <f>+K24</f>
        <v>109.8545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186.79999999999998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</v>
      </c>
      <c r="E75" s="93">
        <f t="shared" ref="E75:I75" si="73">E72-E73</f>
        <v>0</v>
      </c>
      <c r="F75" s="93">
        <f t="shared" si="73"/>
        <v>0</v>
      </c>
      <c r="G75" s="93">
        <f t="shared" si="73"/>
        <v>0</v>
      </c>
      <c r="H75" s="93">
        <f t="shared" si="73"/>
        <v>0</v>
      </c>
      <c r="I75" s="93">
        <f t="shared" si="73"/>
        <v>0</v>
      </c>
      <c r="J75" s="63"/>
      <c r="K75" s="93">
        <f>+K27</f>
        <v>-76.945499999999981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472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4">AF49</f>
        <v>0</v>
      </c>
      <c r="F82" s="61">
        <f t="shared" si="74"/>
        <v>0</v>
      </c>
      <c r="G82" s="61">
        <f t="shared" si="74"/>
        <v>0</v>
      </c>
      <c r="H82" s="61">
        <f t="shared" si="74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5">E82-E83</f>
        <v>0</v>
      </c>
      <c r="F85" s="93">
        <f t="shared" si="75"/>
        <v>0</v>
      </c>
      <c r="G85" s="93">
        <f t="shared" si="75"/>
        <v>0</v>
      </c>
      <c r="H85" s="93">
        <f t="shared" si="75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471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473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F7" sqref="F7"/>
    </sheetView>
  </sheetViews>
  <sheetFormatPr baseColWidth="10" defaultRowHeight="15" x14ac:dyDescent="0.25"/>
  <cols>
    <col min="5" max="5" width="16.7109375" customWidth="1"/>
    <col min="6" max="6" width="13.85546875" customWidth="1"/>
    <col min="7" max="7" width="10.85546875" style="288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446</v>
      </c>
      <c r="E1" s="6" t="s">
        <v>447</v>
      </c>
      <c r="F1" s="7" t="s">
        <v>75</v>
      </c>
      <c r="G1" s="281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480</v>
      </c>
      <c r="O1" s="25" t="s">
        <v>332</v>
      </c>
      <c r="P1" s="25" t="s">
        <v>333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448</v>
      </c>
      <c r="E2" s="9">
        <v>2</v>
      </c>
      <c r="F2" s="270">
        <v>13</v>
      </c>
      <c r="G2" s="282">
        <v>0.56000000000000005</v>
      </c>
      <c r="H2" s="9">
        <v>2</v>
      </c>
      <c r="I2" s="9">
        <v>0</v>
      </c>
      <c r="J2" s="8">
        <f>IF(B2=2,0,IF(H2=$X$10,G2*$AA$10,IF(H2=$X$11,G2*$AA$11,IF(H2=$X$12,G2*$AA$12,""))))</f>
        <v>0.56000000000000005</v>
      </c>
      <c r="K2" s="8">
        <f t="shared" ref="K2:K37" si="0">IF(I2=$X$5,J2*$Z$5,IF(I2=$X$6,J2*$Z$6,IF(I2=$X$7,J2*$Z$7,"")))</f>
        <v>0.56000000000000005</v>
      </c>
      <c r="L2" s="10">
        <f>IF(H2=$X$10,SQRT(K2*10000),SQRT(Parcellaire!K2*10000)/$AB$11)</f>
        <v>52.915026221291811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211.66010488516724</v>
      </c>
      <c r="T2" s="10">
        <f>IF(C2=2,P2*L2,0)</f>
        <v>211.66010488516724</v>
      </c>
      <c r="U2" s="27">
        <f>N2*L2</f>
        <v>317.49015732775086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448</v>
      </c>
      <c r="E3" s="9" t="s">
        <v>449</v>
      </c>
      <c r="F3" s="270">
        <v>13</v>
      </c>
      <c r="G3" s="282">
        <v>3.23</v>
      </c>
      <c r="H3" s="9">
        <v>3</v>
      </c>
      <c r="I3" s="9">
        <v>0</v>
      </c>
      <c r="J3" s="8">
        <f t="shared" ref="J3:J21" si="1">IF(B3=2,0,IF(H3=$X$10,G3*$AA$10,IF(H3=$X$11,G3*$AA$11,IF(H3=$X$12,G3*$AA$12,""))))</f>
        <v>3.5530000000000004</v>
      </c>
      <c r="K3" s="8">
        <f t="shared" ref="K3:K21" si="2">IF(I3=$X$5,J3*$Z$5,IF(I3=$X$6,J3*$Z$6,IF(I3=$X$7,J3*$Z$7,"")))</f>
        <v>3.5530000000000004</v>
      </c>
      <c r="L3" s="10">
        <f>IF(H3=$X$10,SQRT(K3*10000),SQRT(Parcellaire!K3*10000)/$AB$11)</f>
        <v>133.28540805354501</v>
      </c>
      <c r="M3" s="10">
        <f t="shared" ref="M3:M21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666.42704026772515</v>
      </c>
      <c r="T3" s="10">
        <f t="shared" ref="T3:T37" si="7">IF(C3=2,P3*L3,0)</f>
        <v>266.57081610709002</v>
      </c>
      <c r="U3" s="27">
        <f t="shared" ref="U3:U37" si="8">N3*L3</f>
        <v>799.71244832127013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448</v>
      </c>
      <c r="E4" s="9">
        <v>2</v>
      </c>
      <c r="F4" s="270">
        <v>13</v>
      </c>
      <c r="G4" s="282">
        <v>0.76</v>
      </c>
      <c r="H4" s="9">
        <v>3</v>
      </c>
      <c r="I4" s="9">
        <v>0</v>
      </c>
      <c r="J4" s="8">
        <f t="shared" si="1"/>
        <v>0.83600000000000008</v>
      </c>
      <c r="K4" s="8">
        <f t="shared" si="2"/>
        <v>0.83600000000000008</v>
      </c>
      <c r="L4" s="10">
        <f>IF(H4=$X$10,SQRT(K4*10000),SQRT(Parcellaire!K4*10000)/$AB$11)</f>
        <v>64.652919500978442</v>
      </c>
      <c r="M4" s="10">
        <f t="shared" si="3"/>
        <v>6</v>
      </c>
      <c r="N4" s="24">
        <v>6</v>
      </c>
      <c r="O4" s="26"/>
      <c r="P4" s="155">
        <v>5</v>
      </c>
      <c r="Q4" s="10">
        <f t="shared" si="4"/>
        <v>0</v>
      </c>
      <c r="R4" s="10">
        <f t="shared" si="5"/>
        <v>0</v>
      </c>
      <c r="S4" s="10">
        <f t="shared" si="6"/>
        <v>226.28521825342455</v>
      </c>
      <c r="T4" s="10">
        <f>IF(C4=2,P4*L4,0)</f>
        <v>323.26459750489221</v>
      </c>
      <c r="U4" s="27">
        <f t="shared" si="8"/>
        <v>387.91751700587065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448</v>
      </c>
      <c r="E5" s="9">
        <v>2</v>
      </c>
      <c r="F5" s="270">
        <v>13</v>
      </c>
      <c r="G5" s="282">
        <v>0.45</v>
      </c>
      <c r="H5" s="9">
        <v>2</v>
      </c>
      <c r="I5" s="9">
        <v>0</v>
      </c>
      <c r="J5" s="8">
        <f t="shared" si="1"/>
        <v>0.45</v>
      </c>
      <c r="K5" s="8">
        <f t="shared" si="2"/>
        <v>0.45</v>
      </c>
      <c r="L5" s="10">
        <f>IF(H5=$X$10,SQRT(K5*10000),SQRT(Parcellaire!K5*10000)/$AB$11)</f>
        <v>47.434164902525687</v>
      </c>
      <c r="M5" s="10">
        <f t="shared" si="3"/>
        <v>6</v>
      </c>
      <c r="N5" s="24">
        <v>6</v>
      </c>
      <c r="O5" s="26"/>
      <c r="P5" s="155">
        <v>5</v>
      </c>
      <c r="Q5" s="10">
        <f t="shared" si="4"/>
        <v>0</v>
      </c>
      <c r="R5" s="10">
        <f t="shared" si="5"/>
        <v>0</v>
      </c>
      <c r="S5" s="10">
        <f t="shared" si="6"/>
        <v>166.01957715883992</v>
      </c>
      <c r="T5" s="10">
        <f t="shared" si="7"/>
        <v>237.17082451262843</v>
      </c>
      <c r="U5" s="27">
        <f t="shared" si="8"/>
        <v>284.60498941515414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/>
      <c r="C6" s="9"/>
      <c r="D6" s="9"/>
      <c r="E6" s="9"/>
      <c r="F6" s="9"/>
      <c r="G6" s="283"/>
      <c r="H6" s="9"/>
      <c r="I6" s="9"/>
      <c r="J6" s="8" t="str">
        <f t="shared" si="1"/>
        <v/>
      </c>
      <c r="K6" s="8" t="e">
        <f t="shared" si="2"/>
        <v>#VALUE!</v>
      </c>
      <c r="L6" s="10" t="e">
        <f>IF(H6=$X$10,SQRT(K6*10000),SQRT(Parcellaire!K6*10000)/$AB$11)</f>
        <v>#VALUE!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 t="e">
        <f t="shared" si="6"/>
        <v>#VALUE!</v>
      </c>
      <c r="T6" s="10">
        <f t="shared" si="7"/>
        <v>0</v>
      </c>
      <c r="U6" s="27" t="e">
        <f t="shared" si="8"/>
        <v>#VALUE!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479</v>
      </c>
      <c r="E7" s="9" t="s">
        <v>343</v>
      </c>
      <c r="F7" s="9">
        <v>239</v>
      </c>
      <c r="G7" s="284">
        <v>2.65</v>
      </c>
      <c r="H7" s="9">
        <v>3</v>
      </c>
      <c r="I7" s="9">
        <v>1</v>
      </c>
      <c r="J7" s="8">
        <f t="shared" si="1"/>
        <v>2.915</v>
      </c>
      <c r="K7" s="8">
        <f t="shared" si="2"/>
        <v>3.4979999999999998</v>
      </c>
      <c r="L7" s="10">
        <f>IF(H7=$X$10,SQRT(K7*10000),SQRT(Parcellaire!K7*10000)/$AB$11)</f>
        <v>132.24976370489284</v>
      </c>
      <c r="M7" s="10">
        <f t="shared" si="3"/>
        <v>6</v>
      </c>
      <c r="N7" s="24">
        <v>6</v>
      </c>
      <c r="O7" s="26"/>
      <c r="P7" s="155">
        <v>6</v>
      </c>
      <c r="Q7" s="10">
        <f>IF(C7=1,N7*L7,0)</f>
        <v>0</v>
      </c>
      <c r="R7" s="10">
        <f t="shared" si="5"/>
        <v>0</v>
      </c>
      <c r="S7" s="10">
        <f t="shared" si="6"/>
        <v>396.7492911146785</v>
      </c>
      <c r="T7" s="10">
        <f t="shared" si="7"/>
        <v>793.498582229357</v>
      </c>
      <c r="U7" s="27">
        <f t="shared" si="8"/>
        <v>793.498582229357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283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1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479</v>
      </c>
      <c r="E9" s="9">
        <v>2</v>
      </c>
      <c r="F9" s="9">
        <v>242</v>
      </c>
      <c r="G9" s="283">
        <v>2</v>
      </c>
      <c r="H9" s="9">
        <v>2</v>
      </c>
      <c r="I9" s="9">
        <v>1</v>
      </c>
      <c r="J9" s="8">
        <f t="shared" si="1"/>
        <v>2</v>
      </c>
      <c r="K9" s="8">
        <f t="shared" si="2"/>
        <v>2.4</v>
      </c>
      <c r="L9" s="10">
        <f>IF(H9=$X$10,SQRT(K9*10000),SQRT(Parcellaire!K9*10000)/$AB$11)</f>
        <v>109.54451150103321</v>
      </c>
      <c r="M9" s="10">
        <f t="shared" si="3"/>
        <v>6</v>
      </c>
      <c r="N9" s="24">
        <v>0</v>
      </c>
      <c r="O9" s="26"/>
      <c r="P9" s="155">
        <v>0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479</v>
      </c>
      <c r="E10" s="9" t="s">
        <v>449</v>
      </c>
      <c r="F10" s="9">
        <v>245</v>
      </c>
      <c r="G10" s="283">
        <v>6</v>
      </c>
      <c r="H10" s="9">
        <v>3</v>
      </c>
      <c r="I10" s="9">
        <v>0.5</v>
      </c>
      <c r="J10" s="8">
        <f t="shared" si="1"/>
        <v>6.6000000000000005</v>
      </c>
      <c r="K10" s="8">
        <f t="shared" si="2"/>
        <v>7.2600000000000016</v>
      </c>
      <c r="L10" s="10">
        <f>IF(H10=$X$10,SQRT(K10*10000),SQRT(Parcellaire!K10*10000)/$AB$11)</f>
        <v>190.52558883257649</v>
      </c>
      <c r="M10" s="10">
        <f t="shared" si="3"/>
        <v>6</v>
      </c>
      <c r="N10" s="24">
        <v>0</v>
      </c>
      <c r="O10" s="26"/>
      <c r="P10" s="155">
        <v>0</v>
      </c>
      <c r="Q10" s="10">
        <f t="shared" si="4"/>
        <v>0</v>
      </c>
      <c r="R10" s="10">
        <f t="shared" si="5"/>
        <v>0</v>
      </c>
      <c r="S10" s="10">
        <f t="shared" si="6"/>
        <v>0</v>
      </c>
      <c r="T10" s="10">
        <f t="shared" si="7"/>
        <v>0</v>
      </c>
      <c r="U10" s="27">
        <f t="shared" si="8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/>
      <c r="C11" s="9"/>
      <c r="D11" s="9"/>
      <c r="E11" s="9"/>
      <c r="F11" s="9"/>
      <c r="G11" s="283"/>
      <c r="H11" s="9"/>
      <c r="I11" s="9"/>
      <c r="J11" s="8" t="str">
        <f t="shared" si="1"/>
        <v/>
      </c>
      <c r="K11" s="8" t="e">
        <f t="shared" si="2"/>
        <v>#VALUE!</v>
      </c>
      <c r="L11" s="10" t="e">
        <f>IF(H11=$X$10,SQRT(K11*10000),SQRT(Parcellaire!K11*10000)/$AB$11)</f>
        <v>#VALUE!</v>
      </c>
      <c r="M11" s="10">
        <f t="shared" si="3"/>
        <v>6</v>
      </c>
      <c r="N11" s="24">
        <v>0</v>
      </c>
      <c r="O11" s="26"/>
      <c r="P11" s="155">
        <v>0</v>
      </c>
      <c r="Q11" s="10">
        <f t="shared" si="4"/>
        <v>0</v>
      </c>
      <c r="R11" s="10">
        <f t="shared" si="5"/>
        <v>0</v>
      </c>
      <c r="S11" s="10" t="e">
        <f t="shared" si="6"/>
        <v>#VALUE!</v>
      </c>
      <c r="T11" s="10">
        <f t="shared" si="7"/>
        <v>0</v>
      </c>
      <c r="U11" s="27" t="e">
        <f t="shared" si="8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2</v>
      </c>
      <c r="C12" s="9">
        <v>2</v>
      </c>
      <c r="D12" s="9" t="s">
        <v>448</v>
      </c>
      <c r="E12" s="9" t="s">
        <v>275</v>
      </c>
      <c r="F12" s="9"/>
      <c r="G12" s="285">
        <v>2.1</v>
      </c>
      <c r="H12" s="9">
        <v>2</v>
      </c>
      <c r="I12" s="9">
        <v>0</v>
      </c>
      <c r="J12" s="8">
        <f t="shared" si="1"/>
        <v>0</v>
      </c>
      <c r="K12" s="8">
        <f t="shared" si="2"/>
        <v>0</v>
      </c>
      <c r="L12" s="10">
        <f>IF(H12=$X$10,SQRT(K12*10000),SQRT(Parcellaire!K12*10000)/$AB$11)</f>
        <v>0</v>
      </c>
      <c r="M12" s="10">
        <f t="shared" si="3"/>
        <v>6</v>
      </c>
      <c r="N12" s="24">
        <v>0</v>
      </c>
      <c r="O12" s="26"/>
      <c r="P12" s="155">
        <v>0</v>
      </c>
      <c r="Q12" s="10">
        <f t="shared" si="4"/>
        <v>0</v>
      </c>
      <c r="R12" s="10">
        <f t="shared" si="5"/>
        <v>0</v>
      </c>
      <c r="S12" s="10">
        <f t="shared" si="6"/>
        <v>0</v>
      </c>
      <c r="T12" s="10">
        <f t="shared" si="7"/>
        <v>0</v>
      </c>
      <c r="U12" s="27">
        <f t="shared" si="8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 t="s">
        <v>438</v>
      </c>
      <c r="D13" s="9" t="s">
        <v>448</v>
      </c>
      <c r="E13" s="9">
        <v>2</v>
      </c>
      <c r="F13" s="9">
        <v>242</v>
      </c>
      <c r="G13" s="282">
        <v>3</v>
      </c>
      <c r="H13" s="9">
        <v>3</v>
      </c>
      <c r="I13" s="9">
        <v>0</v>
      </c>
      <c r="J13" s="8">
        <f t="shared" si="1"/>
        <v>3.3000000000000003</v>
      </c>
      <c r="K13" s="8">
        <f t="shared" si="2"/>
        <v>3.3000000000000003</v>
      </c>
      <c r="L13" s="10">
        <f>IF(H13=$X$10,SQRT(K13*10000),SQRT(Parcellaire!K13*10000)/$AB$11)</f>
        <v>128.45232578665127</v>
      </c>
      <c r="M13" s="10">
        <f t="shared" si="3"/>
        <v>6</v>
      </c>
      <c r="N13" s="24">
        <v>6</v>
      </c>
      <c r="O13" s="26"/>
      <c r="P13" s="155">
        <v>1</v>
      </c>
      <c r="Q13" s="10">
        <f t="shared" si="4"/>
        <v>0</v>
      </c>
      <c r="R13" s="10">
        <f t="shared" si="5"/>
        <v>0</v>
      </c>
      <c r="S13" s="10">
        <f t="shared" si="6"/>
        <v>706.487791826582</v>
      </c>
      <c r="T13" s="10">
        <f t="shared" si="7"/>
        <v>0</v>
      </c>
      <c r="U13" s="27">
        <f t="shared" si="8"/>
        <v>770.71395471990763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479</v>
      </c>
      <c r="E14" s="9">
        <v>2</v>
      </c>
      <c r="F14" s="9">
        <v>146</v>
      </c>
      <c r="G14" s="283">
        <v>1.07</v>
      </c>
      <c r="H14" s="9">
        <v>3</v>
      </c>
      <c r="I14" s="9">
        <v>0</v>
      </c>
      <c r="J14" s="8">
        <f t="shared" si="1"/>
        <v>1.1770000000000003</v>
      </c>
      <c r="K14" s="8">
        <f t="shared" si="2"/>
        <v>1.1770000000000003</v>
      </c>
      <c r="L14" s="10">
        <f>IF(H14=$X$10,SQRT(K14*10000),SQRT(Parcellaire!K14*10000)/$AB$11)</f>
        <v>76.71375365604267</v>
      </c>
      <c r="M14" s="10">
        <f t="shared" si="3"/>
        <v>6</v>
      </c>
      <c r="N14" s="24">
        <v>6</v>
      </c>
      <c r="O14" s="26"/>
      <c r="P14" s="155">
        <v>2</v>
      </c>
      <c r="Q14" s="10">
        <f t="shared" si="4"/>
        <v>0</v>
      </c>
      <c r="R14" s="10">
        <f t="shared" si="5"/>
        <v>0</v>
      </c>
      <c r="S14" s="10">
        <f t="shared" si="6"/>
        <v>383.56876828021331</v>
      </c>
      <c r="T14" s="10">
        <f t="shared" si="7"/>
        <v>153.42750731208534</v>
      </c>
      <c r="U14" s="27">
        <f t="shared" si="8"/>
        <v>460.28252193625599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479</v>
      </c>
      <c r="E15" s="9">
        <v>2</v>
      </c>
      <c r="F15" s="9">
        <v>146</v>
      </c>
      <c r="G15" s="283">
        <v>4.2</v>
      </c>
      <c r="H15" s="9">
        <v>3</v>
      </c>
      <c r="I15" s="9">
        <v>0</v>
      </c>
      <c r="J15" s="8">
        <f t="shared" si="1"/>
        <v>4.620000000000001</v>
      </c>
      <c r="K15" s="8">
        <f t="shared" si="2"/>
        <v>4.620000000000001</v>
      </c>
      <c r="L15" s="10">
        <f>IF(H15=$X$10,SQRT(K15*10000),SQRT(Parcellaire!K15*10000)/$AB$11)</f>
        <v>151.98684153570665</v>
      </c>
      <c r="M15" s="10">
        <f t="shared" si="3"/>
        <v>6</v>
      </c>
      <c r="N15" s="24">
        <v>6</v>
      </c>
      <c r="O15" s="26"/>
      <c r="P15" s="155">
        <v>4</v>
      </c>
      <c r="Q15" s="10">
        <f t="shared" si="4"/>
        <v>0</v>
      </c>
      <c r="R15" s="10">
        <f t="shared" si="5"/>
        <v>0</v>
      </c>
      <c r="S15" s="10">
        <f t="shared" si="6"/>
        <v>607.9473661428267</v>
      </c>
      <c r="T15" s="10">
        <f t="shared" si="7"/>
        <v>607.94736614282658</v>
      </c>
      <c r="U15" s="27">
        <f t="shared" si="8"/>
        <v>911.92104921423993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479</v>
      </c>
      <c r="E16" s="9">
        <v>2</v>
      </c>
      <c r="F16" s="9">
        <v>237</v>
      </c>
      <c r="G16" s="283">
        <v>0.6</v>
      </c>
      <c r="H16" s="9">
        <v>1</v>
      </c>
      <c r="I16" s="9">
        <v>0</v>
      </c>
      <c r="J16" s="8">
        <f t="shared" si="1"/>
        <v>0.6</v>
      </c>
      <c r="K16" s="8">
        <f t="shared" si="2"/>
        <v>0.6</v>
      </c>
      <c r="L16" s="10">
        <f>IF(H16=$X$10,SQRT(K16*10000),SQRT(Parcellaire!K16*10000)/$AB$11)</f>
        <v>77.459666924148337</v>
      </c>
      <c r="M16" s="10">
        <f t="shared" si="3"/>
        <v>4</v>
      </c>
      <c r="N16" s="24">
        <v>4</v>
      </c>
      <c r="O16" s="26"/>
      <c r="P16" s="155">
        <v>2</v>
      </c>
      <c r="Q16" s="10">
        <f t="shared" si="4"/>
        <v>0</v>
      </c>
      <c r="R16" s="10">
        <f t="shared" si="5"/>
        <v>0</v>
      </c>
      <c r="S16" s="10">
        <f t="shared" si="6"/>
        <v>232.37900077244501</v>
      </c>
      <c r="T16" s="10">
        <f t="shared" si="7"/>
        <v>154.91933384829667</v>
      </c>
      <c r="U16" s="27">
        <f t="shared" si="8"/>
        <v>309.83866769659335</v>
      </c>
      <c r="V16" s="3"/>
      <c r="W16" s="3"/>
      <c r="X16" s="8">
        <v>1</v>
      </c>
      <c r="Y16" s="138" t="s">
        <v>334</v>
      </c>
      <c r="Z16" s="134" t="s">
        <v>325</v>
      </c>
      <c r="AA16" t="s">
        <v>50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448</v>
      </c>
      <c r="E17" s="9">
        <v>2</v>
      </c>
      <c r="F17" s="270">
        <v>28</v>
      </c>
      <c r="G17" s="282">
        <v>0.6</v>
      </c>
      <c r="H17" s="9">
        <v>3</v>
      </c>
      <c r="I17" s="9">
        <v>0</v>
      </c>
      <c r="J17" s="8">
        <f t="shared" si="1"/>
        <v>0.66</v>
      </c>
      <c r="K17" s="8">
        <f t="shared" si="2"/>
        <v>0.66</v>
      </c>
      <c r="L17" s="10">
        <f>IF(H17=$X$10,SQRT(K17*10000),SQRT(Parcellaire!K17*10000)/$AB$11)</f>
        <v>57.445626465380286</v>
      </c>
      <c r="M17" s="10">
        <f t="shared" si="3"/>
        <v>6</v>
      </c>
      <c r="N17" s="24">
        <v>6</v>
      </c>
      <c r="O17" s="26"/>
      <c r="P17" s="155">
        <v>4</v>
      </c>
      <c r="Q17" s="10">
        <f t="shared" si="4"/>
        <v>0</v>
      </c>
      <c r="R17" s="10">
        <f t="shared" si="5"/>
        <v>0</v>
      </c>
      <c r="S17" s="10">
        <f t="shared" si="6"/>
        <v>229.78250586152114</v>
      </c>
      <c r="T17" s="10">
        <f t="shared" si="7"/>
        <v>229.78250586152114</v>
      </c>
      <c r="U17" s="27">
        <f t="shared" si="8"/>
        <v>344.67375879228172</v>
      </c>
      <c r="V17" s="3"/>
      <c r="W17" s="3"/>
      <c r="X17" s="8">
        <v>2</v>
      </c>
      <c r="Y17" s="138" t="s">
        <v>335</v>
      </c>
      <c r="Z17" s="136">
        <f>S64</f>
        <v>5306.3585492605589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448</v>
      </c>
      <c r="E18" s="9" t="s">
        <v>449</v>
      </c>
      <c r="F18" s="9">
        <v>239</v>
      </c>
      <c r="G18" s="282">
        <v>2.11</v>
      </c>
      <c r="H18" s="9">
        <v>3</v>
      </c>
      <c r="I18" s="9">
        <v>0</v>
      </c>
      <c r="J18" s="8">
        <f t="shared" si="1"/>
        <v>2.3210000000000002</v>
      </c>
      <c r="K18" s="8">
        <f t="shared" si="2"/>
        <v>2.3210000000000002</v>
      </c>
      <c r="L18" s="10">
        <f>IF(H18=$X$10,SQRT(K18*10000),SQRT(Parcellaire!K18*10000)/$AB$11)</f>
        <v>107.72650555921695</v>
      </c>
      <c r="M18" s="10">
        <f t="shared" si="3"/>
        <v>6</v>
      </c>
      <c r="N18" s="24">
        <v>6</v>
      </c>
      <c r="O18" s="26"/>
      <c r="P18" s="155">
        <v>0</v>
      </c>
      <c r="Q18" s="10">
        <f t="shared" si="4"/>
        <v>0</v>
      </c>
      <c r="R18" s="10">
        <f t="shared" si="5"/>
        <v>0</v>
      </c>
      <c r="S18" s="10">
        <f t="shared" si="6"/>
        <v>646.35903335530168</v>
      </c>
      <c r="T18" s="10">
        <f t="shared" si="7"/>
        <v>0</v>
      </c>
      <c r="U18" s="27">
        <f t="shared" si="8"/>
        <v>646.35903335530168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479</v>
      </c>
      <c r="E19" s="9">
        <v>2</v>
      </c>
      <c r="F19" s="9">
        <v>237</v>
      </c>
      <c r="G19" s="283">
        <v>1.35</v>
      </c>
      <c r="H19" s="9">
        <v>2</v>
      </c>
      <c r="I19" s="9">
        <v>0</v>
      </c>
      <c r="J19" s="8">
        <f t="shared" si="1"/>
        <v>1.35</v>
      </c>
      <c r="K19" s="8">
        <f t="shared" si="2"/>
        <v>1.35</v>
      </c>
      <c r="L19" s="10">
        <f>IF(H19=$X$10,SQRT(K19*10000),SQRT(Parcellaire!K19*10000)/$AB$11)</f>
        <v>82.158383625774917</v>
      </c>
      <c r="M19" s="10">
        <f t="shared" si="3"/>
        <v>6</v>
      </c>
      <c r="N19" s="24">
        <v>6</v>
      </c>
      <c r="O19" s="26"/>
      <c r="P19" s="155">
        <v>0</v>
      </c>
      <c r="Q19" s="10">
        <f t="shared" si="4"/>
        <v>0</v>
      </c>
      <c r="R19" s="10">
        <f t="shared" si="5"/>
        <v>0</v>
      </c>
      <c r="S19" s="10">
        <f t="shared" si="6"/>
        <v>492.9503017546495</v>
      </c>
      <c r="T19" s="10">
        <f t="shared" si="7"/>
        <v>0</v>
      </c>
      <c r="U19" s="27">
        <f t="shared" si="8"/>
        <v>492.9503017546495</v>
      </c>
      <c r="V19" s="3"/>
      <c r="W19" s="3"/>
      <c r="Y19" s="20"/>
      <c r="Z19" s="136">
        <f>Z17+Z18</f>
        <v>5306.3585492605589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9" t="s">
        <v>479</v>
      </c>
      <c r="E20" s="9">
        <v>2</v>
      </c>
      <c r="F20" s="270">
        <v>237</v>
      </c>
      <c r="G20" s="282">
        <v>1.1399999999999999</v>
      </c>
      <c r="H20" s="9">
        <v>2</v>
      </c>
      <c r="I20" s="9">
        <v>0</v>
      </c>
      <c r="J20" s="8">
        <f t="shared" si="1"/>
        <v>1.1399999999999999</v>
      </c>
      <c r="K20" s="8">
        <f t="shared" si="2"/>
        <v>1.1399999999999999</v>
      </c>
      <c r="L20" s="10">
        <f>IF(H20=$X$10,SQRT(K20*10000),SQRT(Parcellaire!K20*10000)/$AB$11)</f>
        <v>75.498344352707491</v>
      </c>
      <c r="M20" s="10">
        <f t="shared" si="3"/>
        <v>6</v>
      </c>
      <c r="N20" s="24">
        <v>6</v>
      </c>
      <c r="O20" s="26"/>
      <c r="P20" s="166">
        <v>3</v>
      </c>
      <c r="Q20" s="10">
        <f t="shared" si="4"/>
        <v>0</v>
      </c>
      <c r="R20" s="10">
        <f t="shared" si="5"/>
        <v>0</v>
      </c>
      <c r="S20" s="10">
        <f t="shared" si="6"/>
        <v>339.7425495871837</v>
      </c>
      <c r="T20" s="10">
        <f t="shared" si="7"/>
        <v>226.49503305812249</v>
      </c>
      <c r="U20" s="27">
        <f t="shared" si="8"/>
        <v>452.99006611624498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2</v>
      </c>
      <c r="D21" s="9" t="s">
        <v>479</v>
      </c>
      <c r="E21" s="9" t="s">
        <v>437</v>
      </c>
      <c r="F21" s="9">
        <v>237</v>
      </c>
      <c r="G21" s="282">
        <v>1.35</v>
      </c>
      <c r="H21" s="9">
        <v>3</v>
      </c>
      <c r="I21" s="9">
        <v>0</v>
      </c>
      <c r="J21" s="8">
        <f t="shared" si="1"/>
        <v>0</v>
      </c>
      <c r="K21" s="8">
        <f t="shared" si="2"/>
        <v>0</v>
      </c>
      <c r="L21" s="10">
        <f>IF(H21=$X$10,SQRT(K21*10000),SQRT(Parcellaire!K21*10000)/$AB$11)</f>
        <v>0</v>
      </c>
      <c r="M21" s="10">
        <f t="shared" si="3"/>
        <v>6</v>
      </c>
      <c r="N21" s="24">
        <v>6</v>
      </c>
      <c r="O21" s="26"/>
      <c r="P21" s="155">
        <v>2</v>
      </c>
      <c r="Q21" s="10">
        <f t="shared" si="4"/>
        <v>0</v>
      </c>
      <c r="R21" s="10">
        <f t="shared" si="5"/>
        <v>0</v>
      </c>
      <c r="S21" s="10">
        <f t="shared" si="6"/>
        <v>0</v>
      </c>
      <c r="T21" s="10">
        <f t="shared" si="7"/>
        <v>0</v>
      </c>
      <c r="U21" s="27">
        <f t="shared" si="8"/>
        <v>0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286"/>
      <c r="H22" s="9"/>
      <c r="I22" s="9"/>
      <c r="J22" s="8" t="str">
        <f t="shared" ref="J22:J37" si="9">IF(H22=$X$10,G22*$AA$10,IF(H22=$X$11,G22*$AA$11,IF(H22=$X$12,G22*$AA$12,"")))</f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ref="M22:M37" si="10">IF(H22=1,4,6)</f>
        <v>6</v>
      </c>
      <c r="N22" s="24"/>
      <c r="O22" s="26"/>
      <c r="P22" s="155"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286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286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ref="P24:P63" si="11">N24-O24</f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481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286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482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286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286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286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286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286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286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286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286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286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286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286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286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/>
      <c r="C38" s="9"/>
      <c r="D38" s="9"/>
      <c r="E38" s="9"/>
      <c r="F38" s="9"/>
      <c r="G38" s="286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352</v>
      </c>
      <c r="Y38" t="s">
        <v>353</v>
      </c>
    </row>
    <row r="39" spans="1:25" x14ac:dyDescent="0.25">
      <c r="A39" s="8">
        <v>38</v>
      </c>
      <c r="B39" s="9"/>
      <c r="C39" s="9"/>
      <c r="D39" s="9"/>
      <c r="E39" s="9"/>
      <c r="F39" s="9"/>
      <c r="G39" s="286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286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286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286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286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286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286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286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286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286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286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286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286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286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286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286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286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286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286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286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286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286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286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286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286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287">
        <f>SUMIF(Parcellaire!$B$2:$B$63,1,Parcellaire!G2:G63)</f>
        <v>29.720000000000002</v>
      </c>
      <c r="H64" s="135">
        <f>SUMIF(Parcellaire!$B$2:$B$63,1,Parcellaire!H2:H63)</f>
        <v>38</v>
      </c>
      <c r="I64" s="135">
        <f>SUMIF(Parcellaire!$B$2:$B$63,1,Parcellaire!I2:I63)</f>
        <v>2.5</v>
      </c>
      <c r="J64" s="135">
        <f>SUMIF(Parcellaire!$B$2:$B$63,1,Parcellaire!J2:J63)</f>
        <v>32.082000000000008</v>
      </c>
      <c r="K64" s="135">
        <f>SUMIF(Parcellaire!$B$2:$B$63,1,Parcellaire!K2:K63)</f>
        <v>33.725000000000009</v>
      </c>
      <c r="L64" s="135">
        <f>SUMIF(Parcellaire!$B$2:$B$63,1,Parcellaire!L2:L63)</f>
        <v>1488.048830622472</v>
      </c>
      <c r="M64" s="135">
        <f>SUMIF(Parcellaire!$B$2:$B$63,1,Parcellaire!M2:M63)</f>
        <v>88</v>
      </c>
      <c r="N64" s="135">
        <f>SUMIF(Parcellaire!$B$2:$B$63,1,Parcellaire!N2:N63)</f>
        <v>76</v>
      </c>
      <c r="O64" s="135">
        <f>SUMIF(Parcellaire!$B$2:$B$63,1,Parcellaire!O2:O63)</f>
        <v>0</v>
      </c>
      <c r="P64" s="135">
        <f>SUMIF(Parcellaire!$B$2:$B$63,1,Parcellaire!P2:P63)</f>
        <v>38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5306.3585492605589</v>
      </c>
      <c r="T64" s="135">
        <f>SUMIF(Parcellaire!$B$2:$B$63,1,Parcellaire!T2:T63)</f>
        <v>3204.736671461987</v>
      </c>
      <c r="U64" s="135">
        <f>SUMIF(Parcellaire!$B$2:$B$63,1,Parcellaire!U2:U63)</f>
        <v>6972.9530478848783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2:BB92"/>
  <sheetViews>
    <sheetView topLeftCell="A67" zoomScaleNormal="100" workbookViewId="0">
      <selection activeCell="B88" sqref="B88:Y92"/>
    </sheetView>
  </sheetViews>
  <sheetFormatPr baseColWidth="10" defaultRowHeight="15" x14ac:dyDescent="0.25"/>
  <cols>
    <col min="1" max="1" width="25" customWidth="1"/>
    <col min="2" max="25" width="4.7109375" customWidth="1"/>
    <col min="30" max="30" width="25.85546875" customWidth="1"/>
    <col min="31" max="54" width="4.7109375" customWidth="1"/>
  </cols>
  <sheetData>
    <row r="32" spans="1:1" x14ac:dyDescent="0.25">
      <c r="A32" t="s">
        <v>454</v>
      </c>
    </row>
    <row r="33" spans="1:25" x14ac:dyDescent="0.25">
      <c r="B33" s="291" t="s">
        <v>2</v>
      </c>
      <c r="C33" s="291"/>
      <c r="D33" s="291" t="s">
        <v>0</v>
      </c>
      <c r="E33" s="291"/>
      <c r="F33" s="291" t="s">
        <v>1</v>
      </c>
      <c r="G33" s="291"/>
      <c r="H33" s="291" t="s">
        <v>3</v>
      </c>
      <c r="I33" s="291"/>
      <c r="J33" s="291" t="s">
        <v>4</v>
      </c>
      <c r="K33" s="291"/>
      <c r="L33" s="291" t="s">
        <v>5</v>
      </c>
      <c r="M33" s="291"/>
      <c r="N33" s="291" t="s">
        <v>6</v>
      </c>
      <c r="O33" s="291"/>
      <c r="P33" s="291" t="s">
        <v>7</v>
      </c>
      <c r="Q33" s="291"/>
      <c r="R33" s="291" t="s">
        <v>8</v>
      </c>
      <c r="S33" s="291"/>
      <c r="T33" s="291" t="s">
        <v>9</v>
      </c>
      <c r="U33" s="291"/>
      <c r="V33" s="291" t="s">
        <v>10</v>
      </c>
      <c r="W33" s="291"/>
      <c r="X33" s="291" t="s">
        <v>11</v>
      </c>
      <c r="Y33" s="291"/>
    </row>
    <row r="34" spans="1:25" x14ac:dyDescent="0.25">
      <c r="B34" s="159">
        <v>1</v>
      </c>
      <c r="C34" s="159">
        <v>2</v>
      </c>
      <c r="D34" s="159">
        <v>3</v>
      </c>
      <c r="E34" s="159">
        <v>4</v>
      </c>
      <c r="F34" s="159">
        <v>5</v>
      </c>
      <c r="G34" s="159">
        <v>6</v>
      </c>
      <c r="H34" s="159">
        <v>7</v>
      </c>
      <c r="I34" s="159">
        <v>8</v>
      </c>
      <c r="J34" s="159">
        <v>9</v>
      </c>
      <c r="K34" s="159">
        <v>10</v>
      </c>
      <c r="L34" s="159">
        <v>11</v>
      </c>
      <c r="M34" s="159">
        <v>12</v>
      </c>
      <c r="N34" s="159">
        <v>13</v>
      </c>
      <c r="O34" s="159">
        <v>14</v>
      </c>
      <c r="P34" s="159">
        <v>15</v>
      </c>
      <c r="Q34" s="159">
        <v>16</v>
      </c>
      <c r="R34" s="159">
        <v>17</v>
      </c>
      <c r="S34" s="159">
        <v>18</v>
      </c>
      <c r="T34" s="159">
        <v>19</v>
      </c>
      <c r="U34" s="159">
        <v>20</v>
      </c>
      <c r="V34" s="159">
        <v>21</v>
      </c>
      <c r="W34" s="159">
        <v>22</v>
      </c>
      <c r="X34" s="159">
        <v>23</v>
      </c>
      <c r="Y34" s="159">
        <v>24</v>
      </c>
    </row>
    <row r="35" spans="1:25" x14ac:dyDescent="0.25">
      <c r="A35" t="s">
        <v>175</v>
      </c>
      <c r="B35" s="159">
        <v>15.5</v>
      </c>
      <c r="C35" s="159">
        <v>15.5</v>
      </c>
      <c r="D35" s="159">
        <v>14</v>
      </c>
      <c r="E35" s="159">
        <v>14</v>
      </c>
      <c r="F35" s="159">
        <v>15.5</v>
      </c>
      <c r="G35" s="159">
        <v>15.5</v>
      </c>
      <c r="H35" s="159">
        <v>15</v>
      </c>
      <c r="I35" s="159">
        <v>15</v>
      </c>
      <c r="J35" s="159">
        <v>15.5</v>
      </c>
      <c r="K35" s="159">
        <v>15.5</v>
      </c>
      <c r="L35" s="159">
        <v>15</v>
      </c>
      <c r="M35" s="159">
        <v>15</v>
      </c>
      <c r="N35" s="159">
        <v>15.5</v>
      </c>
      <c r="O35" s="159">
        <v>15.5</v>
      </c>
      <c r="P35" s="159">
        <v>15.5</v>
      </c>
      <c r="Q35" s="159">
        <v>15.5</v>
      </c>
      <c r="R35" s="159">
        <v>15</v>
      </c>
      <c r="S35" s="159">
        <v>15</v>
      </c>
      <c r="T35" s="159">
        <v>15.5</v>
      </c>
      <c r="U35" s="159">
        <v>15.5</v>
      </c>
      <c r="V35" s="159">
        <v>15</v>
      </c>
      <c r="W35" s="159">
        <v>15</v>
      </c>
      <c r="X35" s="159">
        <v>15.5</v>
      </c>
      <c r="Y35" s="159">
        <v>15.5</v>
      </c>
    </row>
    <row r="36" spans="1:25" x14ac:dyDescent="0.25">
      <c r="A36" s="2" t="s">
        <v>327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</row>
    <row r="37" spans="1:25" x14ac:dyDescent="0.25">
      <c r="A37" s="51" t="s">
        <v>328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58">
        <v>1</v>
      </c>
      <c r="Y37" s="158">
        <v>1</v>
      </c>
    </row>
    <row r="38" spans="1:25" x14ac:dyDescent="0.25">
      <c r="A38" s="51" t="s">
        <v>329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137" t="s">
        <v>331</v>
      </c>
      <c r="B39" s="157">
        <v>1</v>
      </c>
      <c r="C39" s="157">
        <v>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>
        <v>1</v>
      </c>
      <c r="S39" s="60">
        <v>1</v>
      </c>
      <c r="T39" s="60">
        <v>1</v>
      </c>
      <c r="U39" s="60">
        <v>1</v>
      </c>
      <c r="V39" s="60">
        <v>1</v>
      </c>
      <c r="W39" s="60">
        <v>1</v>
      </c>
      <c r="X39" s="60">
        <v>1</v>
      </c>
      <c r="Y39" s="60">
        <v>1</v>
      </c>
    </row>
    <row r="40" spans="1:25" x14ac:dyDescent="0.25">
      <c r="A40" s="51" t="s">
        <v>330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51" t="s">
        <v>434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>
        <v>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450</v>
      </c>
      <c r="B42" s="60"/>
      <c r="C42" s="60"/>
      <c r="D42" s="60"/>
      <c r="E42" s="60"/>
      <c r="F42" s="60"/>
      <c r="G42" s="60"/>
      <c r="H42" s="60">
        <v>1</v>
      </c>
      <c r="I42" s="60">
        <v>1</v>
      </c>
      <c r="J42" s="60">
        <v>1</v>
      </c>
      <c r="K42" s="60">
        <v>1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166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x14ac:dyDescent="0.25">
      <c r="A44" s="51" t="s">
        <v>167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2" t="s">
        <v>12</v>
      </c>
      <c r="B45" s="65" t="s">
        <v>173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5" x14ac:dyDescent="0.25">
      <c r="A46" s="44" t="s">
        <v>172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5" x14ac:dyDescent="0.25">
      <c r="A47" s="50" t="s">
        <v>452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29</v>
      </c>
      <c r="I47" s="60">
        <v>22</v>
      </c>
      <c r="J47" s="60">
        <v>16</v>
      </c>
      <c r="K47" s="60">
        <v>10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451</v>
      </c>
      <c r="B48" s="60">
        <v>43</v>
      </c>
      <c r="C48" s="60">
        <v>43</v>
      </c>
      <c r="D48" s="60">
        <v>43</v>
      </c>
      <c r="E48" s="60">
        <v>43</v>
      </c>
      <c r="F48" s="60">
        <v>43</v>
      </c>
      <c r="G48" s="60">
        <v>43</v>
      </c>
      <c r="H48" s="60">
        <v>14</v>
      </c>
      <c r="I48" s="60">
        <v>21</v>
      </c>
      <c r="J48" s="60">
        <v>27</v>
      </c>
      <c r="K48" s="60">
        <v>33</v>
      </c>
      <c r="L48" s="60">
        <v>33</v>
      </c>
      <c r="M48" s="60">
        <v>33</v>
      </c>
      <c r="N48" s="60">
        <v>33</v>
      </c>
      <c r="O48" s="60">
        <v>33</v>
      </c>
      <c r="P48" s="60">
        <v>33</v>
      </c>
      <c r="Q48" s="60">
        <v>33</v>
      </c>
      <c r="R48" s="60">
        <v>30</v>
      </c>
      <c r="S48" s="60">
        <v>30</v>
      </c>
      <c r="T48" s="60">
        <v>30</v>
      </c>
      <c r="U48" s="60">
        <v>30</v>
      </c>
      <c r="V48" s="60">
        <v>30</v>
      </c>
      <c r="W48" s="60">
        <v>35</v>
      </c>
      <c r="X48" s="60">
        <v>39</v>
      </c>
      <c r="Y48" s="60">
        <v>43</v>
      </c>
    </row>
    <row r="49" spans="1:54" x14ac:dyDescent="0.25">
      <c r="A49" s="50" t="s">
        <v>433</v>
      </c>
      <c r="B49" s="60">
        <v>10</v>
      </c>
      <c r="C49" s="60">
        <v>10</v>
      </c>
      <c r="D49" s="60">
        <v>10</v>
      </c>
      <c r="E49" s="60">
        <v>10</v>
      </c>
      <c r="F49" s="60">
        <v>10</v>
      </c>
      <c r="G49" s="60">
        <v>10</v>
      </c>
      <c r="H49" s="60">
        <v>10</v>
      </c>
      <c r="I49" s="60">
        <v>10</v>
      </c>
      <c r="J49" s="60">
        <v>10</v>
      </c>
      <c r="K49" s="60">
        <v>10</v>
      </c>
      <c r="L49" s="60">
        <v>20</v>
      </c>
      <c r="M49" s="60">
        <v>20</v>
      </c>
      <c r="N49" s="60">
        <v>20</v>
      </c>
      <c r="O49" s="60">
        <v>20</v>
      </c>
      <c r="P49" s="60">
        <v>20</v>
      </c>
      <c r="Q49" s="60">
        <v>20</v>
      </c>
      <c r="R49" s="60">
        <v>20</v>
      </c>
      <c r="S49" s="60">
        <v>20</v>
      </c>
      <c r="T49" s="60">
        <v>20</v>
      </c>
      <c r="U49" s="60">
        <v>20</v>
      </c>
      <c r="V49" s="60">
        <v>20</v>
      </c>
      <c r="W49" s="60">
        <v>20</v>
      </c>
      <c r="X49" s="60">
        <v>20</v>
      </c>
      <c r="Y49" s="60">
        <v>20</v>
      </c>
    </row>
    <row r="50" spans="1:54" x14ac:dyDescent="0.25">
      <c r="A50" s="50" t="s">
        <v>435</v>
      </c>
      <c r="B50" s="60">
        <v>10</v>
      </c>
      <c r="C50" s="60">
        <v>10</v>
      </c>
      <c r="D50" s="60">
        <v>10</v>
      </c>
      <c r="E50" s="60">
        <v>10</v>
      </c>
      <c r="F50" s="60">
        <v>10</v>
      </c>
      <c r="G50" s="60">
        <v>10</v>
      </c>
      <c r="H50" s="60">
        <v>10</v>
      </c>
      <c r="I50" s="60">
        <v>10</v>
      </c>
      <c r="J50" s="60">
        <v>10</v>
      </c>
      <c r="K50" s="60">
        <v>10</v>
      </c>
      <c r="L50" s="60">
        <v>10</v>
      </c>
      <c r="M50" s="60">
        <v>10</v>
      </c>
      <c r="N50" s="60">
        <v>10</v>
      </c>
      <c r="O50" s="60">
        <v>10</v>
      </c>
      <c r="P50" s="60">
        <v>10</v>
      </c>
      <c r="Q50" s="60">
        <v>10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</row>
    <row r="51" spans="1:54" x14ac:dyDescent="0.25">
      <c r="A51" s="50" t="s">
        <v>436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13</v>
      </c>
      <c r="S51" s="60">
        <v>13</v>
      </c>
      <c r="T51" s="60">
        <v>13</v>
      </c>
      <c r="U51" s="60">
        <v>13</v>
      </c>
      <c r="V51" s="60">
        <v>13</v>
      </c>
      <c r="W51" s="60">
        <v>8</v>
      </c>
      <c r="X51" s="60">
        <v>4</v>
      </c>
      <c r="Y51" s="60">
        <v>0</v>
      </c>
    </row>
    <row r="52" spans="1:54" x14ac:dyDescent="0.25">
      <c r="A52" s="50" t="s">
        <v>159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54" x14ac:dyDescent="0.25">
      <c r="A53" s="50" t="s">
        <v>160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54" x14ac:dyDescent="0.25">
      <c r="A54" s="50" t="s">
        <v>161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54" x14ac:dyDescent="0.25">
      <c r="A55" s="50" t="s">
        <v>162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54" x14ac:dyDescent="0.25">
      <c r="A56" s="50" t="s">
        <v>163</v>
      </c>
      <c r="B56" s="60">
        <f>SUM(B47:B55)</f>
        <v>63</v>
      </c>
      <c r="C56" s="60">
        <f t="shared" ref="C56:Y56" si="0">SUM(C47:C55)</f>
        <v>63</v>
      </c>
      <c r="D56" s="60">
        <f t="shared" si="0"/>
        <v>63</v>
      </c>
      <c r="E56" s="60">
        <f t="shared" si="0"/>
        <v>63</v>
      </c>
      <c r="F56" s="60">
        <f t="shared" si="0"/>
        <v>63</v>
      </c>
      <c r="G56" s="60">
        <f t="shared" si="0"/>
        <v>63</v>
      </c>
      <c r="H56" s="60">
        <f t="shared" si="0"/>
        <v>63</v>
      </c>
      <c r="I56" s="60">
        <f t="shared" si="0"/>
        <v>63</v>
      </c>
      <c r="J56" s="60">
        <f t="shared" si="0"/>
        <v>63</v>
      </c>
      <c r="K56" s="60">
        <f t="shared" si="0"/>
        <v>63</v>
      </c>
      <c r="L56" s="60">
        <f t="shared" si="0"/>
        <v>63</v>
      </c>
      <c r="M56" s="60">
        <f t="shared" si="0"/>
        <v>63</v>
      </c>
      <c r="N56" s="60">
        <f t="shared" si="0"/>
        <v>63</v>
      </c>
      <c r="O56" s="60">
        <f t="shared" si="0"/>
        <v>63</v>
      </c>
      <c r="P56" s="60">
        <f t="shared" si="0"/>
        <v>63</v>
      </c>
      <c r="Q56" s="60">
        <f t="shared" si="0"/>
        <v>63</v>
      </c>
      <c r="R56" s="60">
        <f t="shared" si="0"/>
        <v>63</v>
      </c>
      <c r="S56" s="60">
        <f t="shared" si="0"/>
        <v>63</v>
      </c>
      <c r="T56" s="60">
        <f t="shared" si="0"/>
        <v>63</v>
      </c>
      <c r="U56" s="60">
        <f t="shared" si="0"/>
        <v>63</v>
      </c>
      <c r="V56" s="60">
        <f t="shared" si="0"/>
        <v>63</v>
      </c>
      <c r="W56" s="60">
        <f t="shared" si="0"/>
        <v>63</v>
      </c>
      <c r="X56" s="60">
        <f t="shared" si="0"/>
        <v>63</v>
      </c>
      <c r="Y56" s="60">
        <f t="shared" si="0"/>
        <v>63</v>
      </c>
    </row>
    <row r="59" spans="1:54" x14ac:dyDescent="0.25">
      <c r="A59" t="s">
        <v>464</v>
      </c>
      <c r="B59">
        <v>45</v>
      </c>
      <c r="C59">
        <v>43</v>
      </c>
      <c r="AD59" t="s">
        <v>463</v>
      </c>
      <c r="AE59">
        <v>45</v>
      </c>
    </row>
    <row r="60" spans="1:54" x14ac:dyDescent="0.25">
      <c r="B60" s="291" t="s">
        <v>2</v>
      </c>
      <c r="C60" s="291"/>
      <c r="D60" s="291" t="s">
        <v>0</v>
      </c>
      <c r="E60" s="291"/>
      <c r="F60" s="291" t="s">
        <v>1</v>
      </c>
      <c r="G60" s="291"/>
      <c r="H60" s="291" t="s">
        <v>3</v>
      </c>
      <c r="I60" s="291"/>
      <c r="J60" s="291" t="s">
        <v>4</v>
      </c>
      <c r="K60" s="291"/>
      <c r="L60" s="291" t="s">
        <v>5</v>
      </c>
      <c r="M60" s="291"/>
      <c r="N60" s="291" t="s">
        <v>6</v>
      </c>
      <c r="O60" s="291"/>
      <c r="P60" s="291" t="s">
        <v>7</v>
      </c>
      <c r="Q60" s="291"/>
      <c r="R60" s="291" t="s">
        <v>8</v>
      </c>
      <c r="S60" s="291"/>
      <c r="T60" s="291" t="s">
        <v>9</v>
      </c>
      <c r="U60" s="291"/>
      <c r="V60" s="291" t="s">
        <v>10</v>
      </c>
      <c r="W60" s="291"/>
      <c r="X60" s="291" t="s">
        <v>11</v>
      </c>
      <c r="Y60" s="291"/>
      <c r="AE60" s="291" t="s">
        <v>2</v>
      </c>
      <c r="AF60" s="291"/>
      <c r="AG60" s="291" t="s">
        <v>0</v>
      </c>
      <c r="AH60" s="291"/>
      <c r="AI60" s="291" t="s">
        <v>1</v>
      </c>
      <c r="AJ60" s="291"/>
      <c r="AK60" s="291" t="s">
        <v>3</v>
      </c>
      <c r="AL60" s="291"/>
      <c r="AM60" s="291" t="s">
        <v>4</v>
      </c>
      <c r="AN60" s="291"/>
      <c r="AO60" s="291" t="s">
        <v>5</v>
      </c>
      <c r="AP60" s="291"/>
      <c r="AQ60" s="291" t="s">
        <v>6</v>
      </c>
      <c r="AR60" s="291"/>
      <c r="AS60" s="291" t="s">
        <v>7</v>
      </c>
      <c r="AT60" s="291"/>
      <c r="AU60" s="291" t="s">
        <v>8</v>
      </c>
      <c r="AV60" s="291"/>
      <c r="AW60" s="291" t="s">
        <v>9</v>
      </c>
      <c r="AX60" s="291"/>
      <c r="AY60" s="291" t="s">
        <v>10</v>
      </c>
      <c r="AZ60" s="291"/>
      <c r="BA60" s="291" t="s">
        <v>11</v>
      </c>
      <c r="BB60" s="291"/>
    </row>
    <row r="61" spans="1:54" x14ac:dyDescent="0.25">
      <c r="B61" s="159">
        <v>1</v>
      </c>
      <c r="C61" s="159">
        <v>2</v>
      </c>
      <c r="D61" s="159">
        <v>3</v>
      </c>
      <c r="E61" s="159">
        <v>4</v>
      </c>
      <c r="F61" s="159">
        <v>5</v>
      </c>
      <c r="G61" s="159">
        <v>6</v>
      </c>
      <c r="H61" s="159">
        <v>7</v>
      </c>
      <c r="I61" s="159">
        <v>8</v>
      </c>
      <c r="J61" s="159">
        <v>9</v>
      </c>
      <c r="K61" s="159">
        <v>10</v>
      </c>
      <c r="L61" s="159">
        <v>11</v>
      </c>
      <c r="M61" s="159">
        <v>12</v>
      </c>
      <c r="N61" s="159">
        <v>13</v>
      </c>
      <c r="O61" s="159">
        <v>14</v>
      </c>
      <c r="P61" s="159">
        <v>15</v>
      </c>
      <c r="Q61" s="159">
        <v>16</v>
      </c>
      <c r="R61" s="159">
        <v>17</v>
      </c>
      <c r="S61" s="159">
        <v>18</v>
      </c>
      <c r="T61" s="159">
        <v>19</v>
      </c>
      <c r="U61" s="159">
        <v>20</v>
      </c>
      <c r="V61" s="159">
        <v>21</v>
      </c>
      <c r="W61" s="159">
        <v>22</v>
      </c>
      <c r="X61" s="159">
        <v>23</v>
      </c>
      <c r="Y61" s="159">
        <v>24</v>
      </c>
      <c r="AE61" s="159">
        <v>1</v>
      </c>
      <c r="AF61" s="159">
        <v>2</v>
      </c>
      <c r="AG61" s="159">
        <v>3</v>
      </c>
      <c r="AH61" s="159">
        <v>4</v>
      </c>
      <c r="AI61" s="159">
        <v>5</v>
      </c>
      <c r="AJ61" s="159">
        <v>6</v>
      </c>
      <c r="AK61" s="159">
        <v>7</v>
      </c>
      <c r="AL61" s="159">
        <v>8</v>
      </c>
      <c r="AM61" s="159">
        <v>9</v>
      </c>
      <c r="AN61" s="159">
        <v>10</v>
      </c>
      <c r="AO61" s="159">
        <v>11</v>
      </c>
      <c r="AP61" s="159">
        <v>12</v>
      </c>
      <c r="AQ61" s="159">
        <v>13</v>
      </c>
      <c r="AR61" s="159">
        <v>14</v>
      </c>
      <c r="AS61" s="159">
        <v>15</v>
      </c>
      <c r="AT61" s="159">
        <v>16</v>
      </c>
      <c r="AU61" s="159">
        <v>17</v>
      </c>
      <c r="AV61" s="159">
        <v>18</v>
      </c>
      <c r="AW61" s="159">
        <v>19</v>
      </c>
      <c r="AX61" s="159">
        <v>20</v>
      </c>
      <c r="AY61" s="159">
        <v>21</v>
      </c>
      <c r="AZ61" s="159">
        <v>22</v>
      </c>
      <c r="BA61" s="159">
        <v>23</v>
      </c>
      <c r="BB61" s="159">
        <v>24</v>
      </c>
    </row>
    <row r="62" spans="1:54" x14ac:dyDescent="0.25">
      <c r="A62" t="s">
        <v>175</v>
      </c>
      <c r="B62" s="159">
        <v>15.5</v>
      </c>
      <c r="C62" s="159">
        <v>15.5</v>
      </c>
      <c r="D62" s="159">
        <v>14</v>
      </c>
      <c r="E62" s="159">
        <v>14</v>
      </c>
      <c r="F62" s="159">
        <v>15.5</v>
      </c>
      <c r="G62" s="159">
        <v>15.5</v>
      </c>
      <c r="H62" s="159">
        <v>15</v>
      </c>
      <c r="I62" s="159">
        <v>15</v>
      </c>
      <c r="J62" s="159">
        <v>15.5</v>
      </c>
      <c r="K62" s="159">
        <v>15.5</v>
      </c>
      <c r="L62" s="159">
        <v>15</v>
      </c>
      <c r="M62" s="159">
        <v>15</v>
      </c>
      <c r="N62" s="159">
        <v>15.5</v>
      </c>
      <c r="O62" s="159">
        <v>15.5</v>
      </c>
      <c r="P62" s="159">
        <v>15.5</v>
      </c>
      <c r="Q62" s="159">
        <v>15.5</v>
      </c>
      <c r="R62" s="159">
        <v>15</v>
      </c>
      <c r="S62" s="159">
        <v>15</v>
      </c>
      <c r="T62" s="159">
        <v>15.5</v>
      </c>
      <c r="U62" s="159">
        <v>15.5</v>
      </c>
      <c r="V62" s="159">
        <v>15</v>
      </c>
      <c r="W62" s="159">
        <v>15</v>
      </c>
      <c r="X62" s="159">
        <v>15.5</v>
      </c>
      <c r="Y62" s="159">
        <v>15.5</v>
      </c>
      <c r="AD62" t="s">
        <v>175</v>
      </c>
      <c r="AE62" s="159">
        <v>15.5</v>
      </c>
      <c r="AF62" s="159">
        <v>15.5</v>
      </c>
      <c r="AG62" s="159">
        <v>14</v>
      </c>
      <c r="AH62" s="159">
        <v>14</v>
      </c>
      <c r="AI62" s="159">
        <v>15.5</v>
      </c>
      <c r="AJ62" s="159">
        <v>15.5</v>
      </c>
      <c r="AK62" s="159">
        <v>15</v>
      </c>
      <c r="AL62" s="159">
        <v>15</v>
      </c>
      <c r="AM62" s="159">
        <v>15.5</v>
      </c>
      <c r="AN62" s="159">
        <v>15.5</v>
      </c>
      <c r="AO62" s="159">
        <v>15</v>
      </c>
      <c r="AP62" s="159">
        <v>15</v>
      </c>
      <c r="AQ62" s="159">
        <v>15.5</v>
      </c>
      <c r="AR62" s="159">
        <v>15.5</v>
      </c>
      <c r="AS62" s="159">
        <v>15.5</v>
      </c>
      <c r="AT62" s="159">
        <v>15.5</v>
      </c>
      <c r="AU62" s="159">
        <v>15</v>
      </c>
      <c r="AV62" s="159">
        <v>15</v>
      </c>
      <c r="AW62" s="159">
        <v>15.5</v>
      </c>
      <c r="AX62" s="159">
        <v>15.5</v>
      </c>
      <c r="AY62" s="159">
        <v>15</v>
      </c>
      <c r="AZ62" s="159">
        <v>15</v>
      </c>
      <c r="BA62" s="159">
        <v>15.5</v>
      </c>
      <c r="BB62" s="159">
        <v>15.5</v>
      </c>
    </row>
    <row r="63" spans="1:54" x14ac:dyDescent="0.25">
      <c r="A63" s="2" t="s">
        <v>327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AD63" s="2" t="s">
        <v>327</v>
      </c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</row>
    <row r="64" spans="1:54" x14ac:dyDescent="0.25">
      <c r="A64" s="51" t="s">
        <v>328</v>
      </c>
      <c r="B64" s="60">
        <v>1</v>
      </c>
      <c r="C64" s="60">
        <v>1</v>
      </c>
      <c r="D64" s="60">
        <v>1</v>
      </c>
      <c r="E64" s="60">
        <v>1</v>
      </c>
      <c r="F64" s="60">
        <v>1</v>
      </c>
      <c r="G64" s="60">
        <v>1</v>
      </c>
      <c r="H64" s="60">
        <v>1</v>
      </c>
      <c r="I64" s="60">
        <v>1</v>
      </c>
      <c r="J64" s="60">
        <v>1</v>
      </c>
      <c r="K64" s="60">
        <v>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>
        <v>1</v>
      </c>
      <c r="Y64" s="60">
        <v>1</v>
      </c>
      <c r="AD64" s="51" t="s">
        <v>328</v>
      </c>
      <c r="AE64" s="60">
        <v>1</v>
      </c>
      <c r="AF64" s="60">
        <v>1</v>
      </c>
      <c r="AG64" s="60">
        <v>1</v>
      </c>
      <c r="AH64" s="60">
        <v>1</v>
      </c>
      <c r="AI64" s="60">
        <v>1</v>
      </c>
      <c r="AJ64" s="60">
        <v>1</v>
      </c>
      <c r="AK64" s="60">
        <v>1</v>
      </c>
      <c r="AL64" s="60">
        <v>1</v>
      </c>
      <c r="AM64" s="60">
        <v>1</v>
      </c>
      <c r="AN64" s="60">
        <v>1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>
        <v>1</v>
      </c>
      <c r="BB64" s="60">
        <v>1</v>
      </c>
    </row>
    <row r="65" spans="1:54" x14ac:dyDescent="0.25">
      <c r="A65" s="51" t="s">
        <v>329</v>
      </c>
      <c r="B65" s="60">
        <v>1</v>
      </c>
      <c r="C65" s="60">
        <v>1</v>
      </c>
      <c r="D65" s="60">
        <v>1</v>
      </c>
      <c r="E65" s="60">
        <v>1</v>
      </c>
      <c r="F65" s="60">
        <v>1</v>
      </c>
      <c r="G65" s="60">
        <v>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>
        <v>1</v>
      </c>
      <c r="Y65" s="60">
        <v>1</v>
      </c>
      <c r="AD65" s="51" t="s">
        <v>329</v>
      </c>
      <c r="AE65" s="60">
        <v>1</v>
      </c>
      <c r="AF65" s="60">
        <v>1</v>
      </c>
      <c r="AG65" s="60">
        <v>1</v>
      </c>
      <c r="AH65" s="60">
        <v>1</v>
      </c>
      <c r="AI65" s="60">
        <v>1</v>
      </c>
      <c r="AJ65" s="60">
        <v>1</v>
      </c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>
        <v>1</v>
      </c>
      <c r="BB65" s="60">
        <v>1</v>
      </c>
    </row>
    <row r="66" spans="1:54" x14ac:dyDescent="0.25">
      <c r="A66" s="137" t="s">
        <v>331</v>
      </c>
      <c r="B66" s="60">
        <v>1</v>
      </c>
      <c r="C66" s="60">
        <v>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>
        <v>1</v>
      </c>
      <c r="S66" s="60">
        <v>1</v>
      </c>
      <c r="T66" s="60">
        <v>1</v>
      </c>
      <c r="U66" s="60">
        <v>1</v>
      </c>
      <c r="V66" s="60">
        <v>1</v>
      </c>
      <c r="W66" s="60">
        <v>1</v>
      </c>
      <c r="X66" s="60">
        <v>1</v>
      </c>
      <c r="Y66" s="60">
        <v>1</v>
      </c>
      <c r="AD66" s="137" t="s">
        <v>331</v>
      </c>
      <c r="AE66" s="60">
        <v>1</v>
      </c>
      <c r="AF66" s="60">
        <v>1</v>
      </c>
      <c r="AG66" s="60">
        <v>1</v>
      </c>
      <c r="AH66" s="60">
        <v>1</v>
      </c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>
        <v>1</v>
      </c>
      <c r="AV66" s="60">
        <v>1</v>
      </c>
      <c r="AW66" s="60">
        <v>1</v>
      </c>
      <c r="AX66" s="60">
        <v>1</v>
      </c>
      <c r="AY66" s="60">
        <v>1</v>
      </c>
      <c r="AZ66" s="60">
        <v>1</v>
      </c>
      <c r="BA66" s="60">
        <v>1</v>
      </c>
      <c r="BB66" s="60">
        <v>1</v>
      </c>
    </row>
    <row r="67" spans="1:54" x14ac:dyDescent="0.25">
      <c r="A67" s="51" t="s">
        <v>330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AD67" s="51" t="s">
        <v>330</v>
      </c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</row>
    <row r="68" spans="1:54" x14ac:dyDescent="0.25">
      <c r="A68" s="51" t="s">
        <v>455</v>
      </c>
      <c r="B68" s="60"/>
      <c r="C68" s="60"/>
      <c r="D68" s="60">
        <v>1</v>
      </c>
      <c r="E68" s="60"/>
      <c r="F68" s="60">
        <v>1</v>
      </c>
      <c r="G68" s="60"/>
      <c r="H68" s="60"/>
      <c r="I68" s="60"/>
      <c r="J68" s="60">
        <v>1</v>
      </c>
      <c r="K68" s="60">
        <v>1</v>
      </c>
      <c r="L68" s="60">
        <v>1</v>
      </c>
      <c r="M68" s="60">
        <v>1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AD68" s="51" t="s">
        <v>455</v>
      </c>
      <c r="AE68" s="60"/>
      <c r="AF68" s="60"/>
      <c r="AG68" s="60">
        <v>1</v>
      </c>
      <c r="AH68" s="60"/>
      <c r="AI68" s="60">
        <v>1</v>
      </c>
      <c r="AJ68" s="60"/>
      <c r="AK68" s="60"/>
      <c r="AL68" s="60"/>
      <c r="AM68" s="60">
        <v>1</v>
      </c>
      <c r="AN68" s="60">
        <v>1</v>
      </c>
      <c r="AO68" s="60">
        <v>1</v>
      </c>
      <c r="AP68" s="60">
        <v>1</v>
      </c>
      <c r="AQ68" s="60">
        <v>1</v>
      </c>
      <c r="AR68" s="60">
        <v>1</v>
      </c>
      <c r="AS68" s="60"/>
      <c r="AT68" s="60"/>
      <c r="AU68" s="60"/>
      <c r="AV68" s="60"/>
      <c r="AW68" s="60"/>
      <c r="AX68" s="60"/>
      <c r="AY68" s="60"/>
      <c r="AZ68" s="60"/>
      <c r="BA68" s="60"/>
      <c r="BB68" s="60"/>
    </row>
    <row r="69" spans="1:54" x14ac:dyDescent="0.25">
      <c r="A69" s="51" t="s">
        <v>456</v>
      </c>
      <c r="B69" s="60"/>
      <c r="C69" s="60"/>
      <c r="D69" s="60"/>
      <c r="E69" s="60">
        <v>1</v>
      </c>
      <c r="F69" s="60">
        <v>1</v>
      </c>
      <c r="G69" s="60">
        <v>1</v>
      </c>
      <c r="H69" s="60">
        <v>1</v>
      </c>
      <c r="I69" s="60">
        <v>1</v>
      </c>
      <c r="J69" s="60">
        <v>1</v>
      </c>
      <c r="K69" s="60">
        <v>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AD69" s="51" t="s">
        <v>456</v>
      </c>
      <c r="AE69" s="60"/>
      <c r="AF69" s="60"/>
      <c r="AG69" s="60">
        <v>1</v>
      </c>
      <c r="AH69" s="60">
        <v>1</v>
      </c>
      <c r="AI69" s="60">
        <v>1</v>
      </c>
      <c r="AJ69" s="60">
        <v>1</v>
      </c>
      <c r="AK69" s="60">
        <v>1</v>
      </c>
      <c r="AL69" s="60">
        <v>1</v>
      </c>
      <c r="AM69" s="60">
        <v>1</v>
      </c>
      <c r="AN69" s="60">
        <v>1</v>
      </c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1:54" x14ac:dyDescent="0.25">
      <c r="A70" s="51" t="s">
        <v>457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>
        <v>1</v>
      </c>
      <c r="U70" s="60"/>
      <c r="V70" s="60">
        <v>1</v>
      </c>
      <c r="W70" s="60"/>
      <c r="X70" s="60"/>
      <c r="Y70" s="60"/>
      <c r="AD70" s="51" t="s">
        <v>457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>
        <v>1</v>
      </c>
      <c r="AX70" s="60"/>
      <c r="AY70" s="60">
        <v>1</v>
      </c>
      <c r="AZ70" s="60"/>
      <c r="BA70" s="60"/>
      <c r="BB70" s="60"/>
    </row>
    <row r="71" spans="1:54" x14ac:dyDescent="0.25">
      <c r="A71" s="51" t="s">
        <v>458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>
        <v>1</v>
      </c>
      <c r="R71" s="60">
        <v>1</v>
      </c>
      <c r="S71" s="60"/>
      <c r="T71" s="60">
        <v>1</v>
      </c>
      <c r="U71" s="60">
        <v>1</v>
      </c>
      <c r="V71" s="60">
        <v>1</v>
      </c>
      <c r="W71" s="60">
        <v>1</v>
      </c>
      <c r="X71" s="60">
        <v>1</v>
      </c>
      <c r="Y71" s="60">
        <v>1</v>
      </c>
      <c r="AD71" s="51" t="s">
        <v>458</v>
      </c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>
        <v>1</v>
      </c>
      <c r="AT71" s="60">
        <v>1</v>
      </c>
      <c r="AU71" s="60">
        <v>1</v>
      </c>
      <c r="AV71" s="60"/>
      <c r="AW71" s="60">
        <v>1</v>
      </c>
      <c r="AX71" s="60">
        <v>1</v>
      </c>
      <c r="AY71" s="60">
        <v>1</v>
      </c>
      <c r="AZ71" s="60">
        <v>1</v>
      </c>
      <c r="BA71" s="60">
        <v>1</v>
      </c>
      <c r="BB71" s="60">
        <v>1</v>
      </c>
    </row>
    <row r="72" spans="1:54" x14ac:dyDescent="0.25">
      <c r="A72" s="2" t="s">
        <v>12</v>
      </c>
      <c r="B72" s="65" t="s">
        <v>173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AD72" s="2" t="s">
        <v>12</v>
      </c>
      <c r="AE72" s="65" t="s">
        <v>173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</row>
    <row r="73" spans="1:54" x14ac:dyDescent="0.25">
      <c r="A73" s="44" t="s">
        <v>172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AD73" s="44" t="s">
        <v>172</v>
      </c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</row>
    <row r="74" spans="1:54" x14ac:dyDescent="0.25">
      <c r="A74" s="50" t="s">
        <v>459</v>
      </c>
      <c r="B74" s="60">
        <v>33</v>
      </c>
      <c r="C74" s="60">
        <v>33</v>
      </c>
      <c r="D74" s="60">
        <v>33</v>
      </c>
      <c r="E74" s="60">
        <v>33</v>
      </c>
      <c r="F74" s="60">
        <v>33</v>
      </c>
      <c r="G74" s="60">
        <v>33</v>
      </c>
      <c r="H74" s="60">
        <v>33</v>
      </c>
      <c r="I74" s="60">
        <v>33</v>
      </c>
      <c r="J74" s="60">
        <v>33</v>
      </c>
      <c r="K74" s="60">
        <v>33</v>
      </c>
      <c r="L74" s="60">
        <v>33</v>
      </c>
      <c r="M74" s="60">
        <v>33</v>
      </c>
      <c r="N74" s="60">
        <v>33</v>
      </c>
      <c r="O74" s="60">
        <v>33</v>
      </c>
      <c r="P74" s="60">
        <v>33</v>
      </c>
      <c r="Q74" s="60">
        <v>32</v>
      </c>
      <c r="R74" s="60">
        <v>32</v>
      </c>
      <c r="S74" s="60">
        <v>32</v>
      </c>
      <c r="T74" s="60">
        <v>32</v>
      </c>
      <c r="U74" s="60">
        <v>33</v>
      </c>
      <c r="V74" s="60">
        <v>33</v>
      </c>
      <c r="W74" s="60">
        <v>34</v>
      </c>
      <c r="X74" s="60">
        <v>34</v>
      </c>
      <c r="Y74" s="60">
        <v>33</v>
      </c>
      <c r="AD74" s="50" t="s">
        <v>459</v>
      </c>
      <c r="AE74" s="60">
        <v>34</v>
      </c>
      <c r="AF74" s="60">
        <v>34</v>
      </c>
      <c r="AG74" s="60">
        <v>34</v>
      </c>
      <c r="AH74" s="60">
        <v>34</v>
      </c>
      <c r="AI74" s="60">
        <v>34</v>
      </c>
      <c r="AJ74" s="60">
        <v>34</v>
      </c>
      <c r="AK74" s="60">
        <v>34</v>
      </c>
      <c r="AL74" s="60">
        <v>34</v>
      </c>
      <c r="AM74" s="60">
        <v>34</v>
      </c>
      <c r="AN74" s="60">
        <v>34</v>
      </c>
      <c r="AO74" s="60">
        <v>34</v>
      </c>
      <c r="AP74" s="60">
        <v>34</v>
      </c>
      <c r="AQ74" s="60">
        <v>34</v>
      </c>
      <c r="AR74" s="60">
        <v>34</v>
      </c>
      <c r="AS74" s="60">
        <v>33</v>
      </c>
      <c r="AT74" s="60">
        <v>32</v>
      </c>
      <c r="AU74" s="60">
        <v>32</v>
      </c>
      <c r="AV74" s="60">
        <v>32</v>
      </c>
      <c r="AW74" s="60">
        <v>32</v>
      </c>
      <c r="AX74" s="60">
        <v>33</v>
      </c>
      <c r="AY74" s="60">
        <v>34</v>
      </c>
      <c r="AZ74" s="60">
        <v>35</v>
      </c>
      <c r="BA74" s="60">
        <v>35</v>
      </c>
      <c r="BB74" s="60">
        <v>34</v>
      </c>
    </row>
    <row r="75" spans="1:54" x14ac:dyDescent="0.25">
      <c r="A75" s="50" t="s">
        <v>460</v>
      </c>
      <c r="B75" s="60">
        <v>1</v>
      </c>
      <c r="C75" s="60">
        <v>3</v>
      </c>
      <c r="D75" s="60">
        <v>7</v>
      </c>
      <c r="E75" s="60">
        <v>10</v>
      </c>
      <c r="F75" s="60">
        <v>10</v>
      </c>
      <c r="G75" s="60">
        <v>10</v>
      </c>
      <c r="H75" s="60">
        <v>10</v>
      </c>
      <c r="I75" s="60">
        <v>10</v>
      </c>
      <c r="J75" s="60">
        <v>10</v>
      </c>
      <c r="K75" s="60">
        <v>10</v>
      </c>
      <c r="L75" s="60">
        <v>10</v>
      </c>
      <c r="M75" s="60">
        <v>10</v>
      </c>
      <c r="N75" s="60">
        <v>10</v>
      </c>
      <c r="O75" s="60">
        <v>10</v>
      </c>
      <c r="P75" s="60">
        <v>10</v>
      </c>
      <c r="Q75" s="60">
        <v>10</v>
      </c>
      <c r="R75" s="60">
        <v>9</v>
      </c>
      <c r="S75" s="60">
        <v>9</v>
      </c>
      <c r="T75" s="60">
        <v>7</v>
      </c>
      <c r="U75" s="60">
        <v>5</v>
      </c>
      <c r="V75" s="60">
        <v>3</v>
      </c>
      <c r="W75" s="60">
        <v>1</v>
      </c>
      <c r="X75" s="60">
        <v>0</v>
      </c>
      <c r="Y75" s="60">
        <v>0</v>
      </c>
      <c r="AD75" s="50" t="s">
        <v>460</v>
      </c>
      <c r="AE75" s="60">
        <v>2</v>
      </c>
      <c r="AF75" s="60">
        <v>4</v>
      </c>
      <c r="AG75" s="60">
        <v>7</v>
      </c>
      <c r="AH75" s="60">
        <v>11</v>
      </c>
      <c r="AI75" s="157">
        <v>11</v>
      </c>
      <c r="AJ75" s="157">
        <v>11</v>
      </c>
      <c r="AK75" s="157">
        <v>11</v>
      </c>
      <c r="AL75" s="157">
        <v>11</v>
      </c>
      <c r="AM75" s="157">
        <v>11</v>
      </c>
      <c r="AN75" s="157">
        <v>11</v>
      </c>
      <c r="AO75" s="157">
        <v>11</v>
      </c>
      <c r="AP75" s="157">
        <v>11</v>
      </c>
      <c r="AQ75" s="157">
        <v>11</v>
      </c>
      <c r="AR75" s="60">
        <v>11</v>
      </c>
      <c r="AS75" s="60">
        <v>11</v>
      </c>
      <c r="AT75" s="60">
        <v>11</v>
      </c>
      <c r="AU75" s="60">
        <v>10</v>
      </c>
      <c r="AV75" s="60">
        <v>10</v>
      </c>
      <c r="AW75" s="60">
        <v>8</v>
      </c>
      <c r="AX75" s="60">
        <v>6</v>
      </c>
      <c r="AY75" s="60">
        <v>3</v>
      </c>
      <c r="AZ75" s="60">
        <v>1</v>
      </c>
      <c r="BA75" s="60">
        <v>0</v>
      </c>
      <c r="BB75" s="60">
        <v>0</v>
      </c>
    </row>
    <row r="76" spans="1:54" x14ac:dyDescent="0.25">
      <c r="A76" s="50" t="s">
        <v>461</v>
      </c>
      <c r="B76" s="60">
        <v>10</v>
      </c>
      <c r="C76" s="60">
        <v>10</v>
      </c>
      <c r="D76" s="60">
        <v>10</v>
      </c>
      <c r="E76" s="60">
        <v>10</v>
      </c>
      <c r="F76" s="60">
        <v>10</v>
      </c>
      <c r="G76" s="60">
        <v>10</v>
      </c>
      <c r="H76" s="60">
        <v>10</v>
      </c>
      <c r="I76" s="60">
        <v>10</v>
      </c>
      <c r="J76" s="60">
        <v>10</v>
      </c>
      <c r="K76" s="60">
        <v>10</v>
      </c>
      <c r="L76" s="60">
        <v>10</v>
      </c>
      <c r="M76" s="60">
        <v>10</v>
      </c>
      <c r="N76" s="60">
        <v>10</v>
      </c>
      <c r="O76" s="60">
        <v>10</v>
      </c>
      <c r="P76" s="60">
        <v>10</v>
      </c>
      <c r="Q76" s="60">
        <v>10</v>
      </c>
      <c r="R76" s="60">
        <v>10</v>
      </c>
      <c r="S76" s="60">
        <v>10</v>
      </c>
      <c r="T76" s="60">
        <v>10</v>
      </c>
      <c r="U76" s="60">
        <v>10</v>
      </c>
      <c r="V76" s="60">
        <v>10</v>
      </c>
      <c r="W76" s="60">
        <v>10</v>
      </c>
      <c r="X76" s="60">
        <v>10</v>
      </c>
      <c r="Y76" s="60">
        <v>10</v>
      </c>
      <c r="AD76" s="50" t="s">
        <v>461</v>
      </c>
      <c r="AE76" s="60">
        <v>11</v>
      </c>
      <c r="AF76" s="60">
        <v>11</v>
      </c>
      <c r="AG76" s="60">
        <v>11</v>
      </c>
      <c r="AH76" s="60">
        <v>11</v>
      </c>
      <c r="AI76" s="60">
        <v>11</v>
      </c>
      <c r="AJ76" s="60">
        <v>11</v>
      </c>
      <c r="AK76" s="60">
        <v>11</v>
      </c>
      <c r="AL76" s="60">
        <v>11</v>
      </c>
      <c r="AM76" s="60">
        <v>11</v>
      </c>
      <c r="AN76" s="60">
        <v>11</v>
      </c>
      <c r="AO76" s="60">
        <v>11</v>
      </c>
      <c r="AP76" s="60">
        <v>11</v>
      </c>
      <c r="AQ76" s="60">
        <v>11</v>
      </c>
      <c r="AR76" s="60">
        <v>11</v>
      </c>
      <c r="AS76" s="60">
        <v>11</v>
      </c>
      <c r="AT76" s="60">
        <v>11</v>
      </c>
      <c r="AU76" s="60">
        <v>11</v>
      </c>
      <c r="AV76" s="60">
        <v>11</v>
      </c>
      <c r="AW76" s="60">
        <v>11</v>
      </c>
      <c r="AX76" s="60">
        <v>11</v>
      </c>
      <c r="AY76" s="60">
        <v>11</v>
      </c>
      <c r="AZ76" s="60">
        <v>11</v>
      </c>
      <c r="BA76" s="60">
        <v>11</v>
      </c>
      <c r="BB76" s="60">
        <v>11</v>
      </c>
    </row>
    <row r="77" spans="1:54" x14ac:dyDescent="0.25">
      <c r="A77" s="50" t="s">
        <v>462</v>
      </c>
      <c r="B77" s="60">
        <v>10</v>
      </c>
      <c r="C77" s="60">
        <v>10</v>
      </c>
      <c r="D77" s="60">
        <v>10</v>
      </c>
      <c r="E77" s="60">
        <v>10</v>
      </c>
      <c r="F77" s="60">
        <v>10</v>
      </c>
      <c r="G77" s="60">
        <v>10</v>
      </c>
      <c r="H77" s="60">
        <v>10</v>
      </c>
      <c r="I77" s="60">
        <v>10</v>
      </c>
      <c r="J77" s="60">
        <v>10</v>
      </c>
      <c r="K77" s="60">
        <v>10</v>
      </c>
      <c r="L77" s="60">
        <v>10</v>
      </c>
      <c r="M77" s="60">
        <v>10</v>
      </c>
      <c r="N77" s="60">
        <v>10</v>
      </c>
      <c r="O77" s="60">
        <v>10</v>
      </c>
      <c r="P77" s="60">
        <v>10</v>
      </c>
      <c r="Q77" s="60">
        <v>10</v>
      </c>
      <c r="R77" s="60">
        <v>10</v>
      </c>
      <c r="S77" s="60">
        <v>10</v>
      </c>
      <c r="T77" s="60">
        <v>10</v>
      </c>
      <c r="U77" s="60">
        <v>10</v>
      </c>
      <c r="V77" s="60">
        <v>10</v>
      </c>
      <c r="W77" s="60">
        <v>10</v>
      </c>
      <c r="X77" s="60">
        <v>10</v>
      </c>
      <c r="Y77" s="60">
        <v>10</v>
      </c>
      <c r="AD77" s="50" t="s">
        <v>462</v>
      </c>
      <c r="AE77" s="60">
        <v>11</v>
      </c>
      <c r="AF77" s="60">
        <v>11</v>
      </c>
      <c r="AG77" s="60">
        <v>11</v>
      </c>
      <c r="AH77" s="60">
        <v>11</v>
      </c>
      <c r="AI77" s="60">
        <v>11</v>
      </c>
      <c r="AJ77" s="60">
        <v>11</v>
      </c>
      <c r="AK77" s="60">
        <v>11</v>
      </c>
      <c r="AL77" s="60">
        <v>11</v>
      </c>
      <c r="AM77" s="60">
        <v>11</v>
      </c>
      <c r="AN77" s="60">
        <v>11</v>
      </c>
      <c r="AO77" s="60">
        <v>11</v>
      </c>
      <c r="AP77" s="60">
        <v>11</v>
      </c>
      <c r="AQ77" s="60">
        <v>11</v>
      </c>
      <c r="AR77" s="60">
        <v>11</v>
      </c>
      <c r="AS77" s="60">
        <v>11</v>
      </c>
      <c r="AT77" s="60">
        <v>11</v>
      </c>
      <c r="AU77" s="60">
        <v>11</v>
      </c>
      <c r="AV77" s="60">
        <v>11</v>
      </c>
      <c r="AW77" s="60">
        <v>11</v>
      </c>
      <c r="AX77" s="60">
        <v>11</v>
      </c>
      <c r="AY77" s="60">
        <v>11</v>
      </c>
      <c r="AZ77" s="60">
        <v>11</v>
      </c>
      <c r="BA77" s="60">
        <v>11</v>
      </c>
      <c r="BB77" s="60">
        <v>11</v>
      </c>
    </row>
    <row r="78" spans="1:54" x14ac:dyDescent="0.25">
      <c r="A78" s="50"/>
      <c r="B78" s="60"/>
      <c r="C78" s="60"/>
      <c r="D78" s="60"/>
      <c r="E78" s="60"/>
      <c r="F78" s="157"/>
      <c r="G78" s="157"/>
      <c r="H78" s="157"/>
      <c r="I78" s="157"/>
      <c r="J78" s="157"/>
      <c r="K78" s="157"/>
      <c r="L78" s="157"/>
      <c r="M78" s="157"/>
      <c r="N78" s="157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D78" s="50"/>
      <c r="AE78" s="60"/>
      <c r="AF78" s="60"/>
      <c r="AG78" s="60"/>
      <c r="AH78" s="60"/>
      <c r="AI78" s="157"/>
      <c r="AJ78" s="157"/>
      <c r="AK78" s="157"/>
      <c r="AL78" s="157"/>
      <c r="AM78" s="157"/>
      <c r="AN78" s="157"/>
      <c r="AO78" s="157"/>
      <c r="AP78" s="157"/>
      <c r="AQ78" s="157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1:54" x14ac:dyDescent="0.25">
      <c r="A79" s="50" t="s">
        <v>452</v>
      </c>
      <c r="B79" s="60"/>
      <c r="C79" s="60"/>
      <c r="D79" s="60"/>
      <c r="E79" s="60"/>
      <c r="F79" s="157"/>
      <c r="G79" s="157"/>
      <c r="H79" s="158">
        <v>15</v>
      </c>
      <c r="I79" s="158">
        <v>13</v>
      </c>
      <c r="J79" s="158">
        <v>8</v>
      </c>
      <c r="K79" s="158">
        <v>4</v>
      </c>
      <c r="L79" s="158">
        <v>2</v>
      </c>
      <c r="M79" s="158">
        <v>0</v>
      </c>
      <c r="N79" s="157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D79" s="50" t="s">
        <v>159</v>
      </c>
      <c r="AE79" s="60"/>
      <c r="AF79" s="60"/>
      <c r="AG79" s="60"/>
      <c r="AH79" s="60"/>
      <c r="AI79" s="157"/>
      <c r="AJ79" s="157"/>
      <c r="AK79" s="157"/>
      <c r="AL79" s="157"/>
      <c r="AM79" s="157"/>
      <c r="AN79" s="157"/>
      <c r="AO79" s="157"/>
      <c r="AP79" s="157"/>
      <c r="AQ79" s="157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1:54" x14ac:dyDescent="0.25">
      <c r="A80" s="50" t="s">
        <v>451</v>
      </c>
      <c r="B80" s="60">
        <v>30</v>
      </c>
      <c r="C80" s="60">
        <v>33</v>
      </c>
      <c r="D80" s="60">
        <v>33</v>
      </c>
      <c r="E80" s="60">
        <v>33</v>
      </c>
      <c r="F80" s="60">
        <v>33</v>
      </c>
      <c r="G80" s="60">
        <v>33</v>
      </c>
      <c r="H80" s="60">
        <v>18</v>
      </c>
      <c r="I80" s="60">
        <v>20</v>
      </c>
      <c r="J80" s="60">
        <v>25</v>
      </c>
      <c r="K80" s="60">
        <v>29</v>
      </c>
      <c r="L80" s="60">
        <v>31</v>
      </c>
      <c r="M80" s="60">
        <v>33</v>
      </c>
      <c r="N80" s="60">
        <v>33</v>
      </c>
      <c r="O80" s="60">
        <v>33</v>
      </c>
      <c r="P80" s="60">
        <v>33</v>
      </c>
      <c r="Q80" s="60">
        <v>32</v>
      </c>
      <c r="R80" s="60">
        <v>21</v>
      </c>
      <c r="S80" s="60">
        <v>21</v>
      </c>
      <c r="T80" s="60">
        <v>21</v>
      </c>
      <c r="U80" s="60">
        <v>22</v>
      </c>
      <c r="V80" s="60">
        <v>22</v>
      </c>
      <c r="W80" s="60">
        <v>23</v>
      </c>
      <c r="X80" s="60">
        <v>23</v>
      </c>
      <c r="Y80" s="60">
        <v>26</v>
      </c>
      <c r="AD80" s="50" t="s">
        <v>160</v>
      </c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1:54" x14ac:dyDescent="0.25">
      <c r="A81" s="50" t="s">
        <v>433</v>
      </c>
      <c r="B81" s="60">
        <f>B75+B76</f>
        <v>11</v>
      </c>
      <c r="C81" s="60">
        <f t="shared" ref="C81:Y81" si="1">C75+C76</f>
        <v>13</v>
      </c>
      <c r="D81" s="60">
        <f t="shared" si="1"/>
        <v>17</v>
      </c>
      <c r="E81" s="60">
        <f t="shared" si="1"/>
        <v>20</v>
      </c>
      <c r="F81" s="60">
        <f t="shared" si="1"/>
        <v>20</v>
      </c>
      <c r="G81" s="60">
        <f t="shared" si="1"/>
        <v>20</v>
      </c>
      <c r="H81" s="60">
        <f t="shared" si="1"/>
        <v>20</v>
      </c>
      <c r="I81" s="60">
        <f t="shared" si="1"/>
        <v>20</v>
      </c>
      <c r="J81" s="60">
        <f t="shared" si="1"/>
        <v>20</v>
      </c>
      <c r="K81" s="60">
        <f t="shared" si="1"/>
        <v>20</v>
      </c>
      <c r="L81" s="60">
        <f t="shared" si="1"/>
        <v>20</v>
      </c>
      <c r="M81" s="60">
        <f t="shared" si="1"/>
        <v>20</v>
      </c>
      <c r="N81" s="60">
        <f t="shared" si="1"/>
        <v>20</v>
      </c>
      <c r="O81" s="60">
        <f t="shared" si="1"/>
        <v>20</v>
      </c>
      <c r="P81" s="60">
        <f t="shared" si="1"/>
        <v>20</v>
      </c>
      <c r="Q81" s="60">
        <f t="shared" si="1"/>
        <v>20</v>
      </c>
      <c r="R81" s="60">
        <f t="shared" si="1"/>
        <v>19</v>
      </c>
      <c r="S81" s="60">
        <f t="shared" si="1"/>
        <v>19</v>
      </c>
      <c r="T81" s="60">
        <f t="shared" si="1"/>
        <v>17</v>
      </c>
      <c r="U81" s="60">
        <f t="shared" si="1"/>
        <v>15</v>
      </c>
      <c r="V81" s="60">
        <f t="shared" si="1"/>
        <v>13</v>
      </c>
      <c r="W81" s="60">
        <f t="shared" si="1"/>
        <v>11</v>
      </c>
      <c r="X81" s="60">
        <f t="shared" si="1"/>
        <v>10</v>
      </c>
      <c r="Y81" s="60">
        <f t="shared" si="1"/>
        <v>10</v>
      </c>
      <c r="AD81" s="50" t="s">
        <v>161</v>
      </c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</row>
    <row r="82" spans="1:54" x14ac:dyDescent="0.25">
      <c r="A82" s="50" t="s">
        <v>435</v>
      </c>
      <c r="B82" s="60">
        <v>10</v>
      </c>
      <c r="C82" s="60">
        <v>10</v>
      </c>
      <c r="D82" s="60">
        <v>10</v>
      </c>
      <c r="E82" s="60">
        <v>10</v>
      </c>
      <c r="F82" s="60">
        <v>10</v>
      </c>
      <c r="G82" s="60">
        <v>10</v>
      </c>
      <c r="H82" s="60">
        <v>10</v>
      </c>
      <c r="I82" s="60">
        <v>10</v>
      </c>
      <c r="J82" s="60">
        <v>10</v>
      </c>
      <c r="K82" s="60">
        <v>10</v>
      </c>
      <c r="L82" s="60">
        <v>10</v>
      </c>
      <c r="M82" s="60">
        <v>10</v>
      </c>
      <c r="N82" s="60">
        <v>10</v>
      </c>
      <c r="O82" s="60">
        <v>10</v>
      </c>
      <c r="P82" s="60">
        <v>10</v>
      </c>
      <c r="Q82" s="60">
        <v>10</v>
      </c>
      <c r="R82" s="60">
        <v>10</v>
      </c>
      <c r="S82" s="60">
        <v>10</v>
      </c>
      <c r="T82" s="60">
        <v>10</v>
      </c>
      <c r="U82" s="60">
        <v>10</v>
      </c>
      <c r="V82" s="60">
        <v>10</v>
      </c>
      <c r="W82" s="60">
        <v>10</v>
      </c>
      <c r="X82" s="60">
        <v>10</v>
      </c>
      <c r="Y82" s="60">
        <v>10</v>
      </c>
      <c r="AD82" s="50" t="s">
        <v>162</v>
      </c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5">
      <c r="A83" s="50" t="s">
        <v>436</v>
      </c>
      <c r="B83" s="60">
        <v>3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11</v>
      </c>
      <c r="S83" s="60">
        <v>11</v>
      </c>
      <c r="T83" s="60">
        <v>11</v>
      </c>
      <c r="U83" s="60">
        <v>11</v>
      </c>
      <c r="V83" s="60">
        <v>11</v>
      </c>
      <c r="W83" s="60">
        <v>11</v>
      </c>
      <c r="X83" s="60">
        <v>11</v>
      </c>
      <c r="Y83" s="60">
        <v>7</v>
      </c>
      <c r="AD83" s="50" t="s">
        <v>163</v>
      </c>
      <c r="AE83" s="60">
        <f>SUM(AE74:AE82)</f>
        <v>58</v>
      </c>
      <c r="AF83" s="60">
        <f t="shared" ref="AF83:BB83" si="2">SUM(AF74:AF82)</f>
        <v>60</v>
      </c>
      <c r="AG83" s="60">
        <f t="shared" si="2"/>
        <v>63</v>
      </c>
      <c r="AH83" s="60">
        <f t="shared" si="2"/>
        <v>67</v>
      </c>
      <c r="AI83" s="60">
        <f t="shared" si="2"/>
        <v>67</v>
      </c>
      <c r="AJ83" s="60">
        <f t="shared" si="2"/>
        <v>67</v>
      </c>
      <c r="AK83" s="60">
        <f t="shared" si="2"/>
        <v>67</v>
      </c>
      <c r="AL83" s="60">
        <f t="shared" si="2"/>
        <v>67</v>
      </c>
      <c r="AM83" s="60">
        <f t="shared" si="2"/>
        <v>67</v>
      </c>
      <c r="AN83" s="60">
        <f t="shared" si="2"/>
        <v>67</v>
      </c>
      <c r="AO83" s="60">
        <f t="shared" si="2"/>
        <v>67</v>
      </c>
      <c r="AP83" s="60">
        <f t="shared" si="2"/>
        <v>67</v>
      </c>
      <c r="AQ83" s="60">
        <f t="shared" si="2"/>
        <v>67</v>
      </c>
      <c r="AR83" s="60">
        <f t="shared" si="2"/>
        <v>67</v>
      </c>
      <c r="AS83" s="60">
        <f t="shared" si="2"/>
        <v>66</v>
      </c>
      <c r="AT83" s="60">
        <f t="shared" si="2"/>
        <v>65</v>
      </c>
      <c r="AU83" s="60">
        <f t="shared" si="2"/>
        <v>64</v>
      </c>
      <c r="AV83" s="60">
        <f t="shared" si="2"/>
        <v>64</v>
      </c>
      <c r="AW83" s="60">
        <f t="shared" si="2"/>
        <v>62</v>
      </c>
      <c r="AX83" s="60">
        <f t="shared" si="2"/>
        <v>61</v>
      </c>
      <c r="AY83" s="60">
        <f t="shared" si="2"/>
        <v>59</v>
      </c>
      <c r="AZ83" s="60">
        <f t="shared" si="2"/>
        <v>58</v>
      </c>
      <c r="BA83" s="60">
        <f t="shared" si="2"/>
        <v>57</v>
      </c>
      <c r="BB83" s="60">
        <f t="shared" si="2"/>
        <v>56</v>
      </c>
    </row>
    <row r="84" spans="1:54" x14ac:dyDescent="0.25">
      <c r="B84" s="142">
        <v>3</v>
      </c>
      <c r="C84" s="142">
        <v>3</v>
      </c>
      <c r="P84" t="s">
        <v>466</v>
      </c>
      <c r="R84" s="142">
        <v>1</v>
      </c>
      <c r="S84" s="142">
        <v>2</v>
      </c>
      <c r="T84" s="142">
        <v>5</v>
      </c>
      <c r="U84" s="142">
        <v>5</v>
      </c>
      <c r="V84" s="142">
        <v>5</v>
      </c>
      <c r="W84" s="142">
        <v>5</v>
      </c>
      <c r="X84" s="142">
        <v>4</v>
      </c>
      <c r="Y84" s="142">
        <v>3</v>
      </c>
    </row>
    <row r="85" spans="1:54" x14ac:dyDescent="0.25">
      <c r="A85" s="52"/>
      <c r="B85" s="142">
        <v>33</v>
      </c>
      <c r="C85" s="142">
        <v>36</v>
      </c>
      <c r="P85" t="s">
        <v>467</v>
      </c>
      <c r="R85" s="142">
        <v>1</v>
      </c>
      <c r="S85" s="142">
        <v>3</v>
      </c>
      <c r="T85" s="142">
        <v>8</v>
      </c>
      <c r="U85" s="142">
        <v>13</v>
      </c>
      <c r="V85" s="142">
        <v>18</v>
      </c>
      <c r="W85" s="142">
        <v>23</v>
      </c>
      <c r="X85" s="142">
        <v>27</v>
      </c>
      <c r="Y85" s="142">
        <v>30</v>
      </c>
    </row>
    <row r="86" spans="1:54" x14ac:dyDescent="0.25">
      <c r="A86" s="52"/>
      <c r="B86" s="63"/>
      <c r="C86" s="63"/>
      <c r="P86" t="s">
        <v>468</v>
      </c>
      <c r="R86" s="142">
        <v>1</v>
      </c>
      <c r="S86" s="142">
        <v>0</v>
      </c>
      <c r="T86" s="142">
        <v>2</v>
      </c>
      <c r="U86" s="142">
        <v>1</v>
      </c>
      <c r="V86" s="142">
        <v>2</v>
      </c>
      <c r="W86" s="142">
        <v>1</v>
      </c>
      <c r="X86" s="142">
        <v>1</v>
      </c>
      <c r="Y86" s="142">
        <v>1</v>
      </c>
    </row>
    <row r="87" spans="1:54" s="5" customFormat="1" x14ac:dyDescent="0.25">
      <c r="A87" s="52" t="s">
        <v>465</v>
      </c>
      <c r="B87" s="63"/>
      <c r="C87" s="63"/>
      <c r="R87" s="63"/>
      <c r="S87" s="63"/>
      <c r="T87" s="63"/>
      <c r="U87" s="63"/>
      <c r="V87" s="63"/>
      <c r="W87" s="63"/>
      <c r="X87" s="63"/>
      <c r="Y87" s="63"/>
    </row>
    <row r="88" spans="1:54" x14ac:dyDescent="0.25">
      <c r="A88" s="50" t="s">
        <v>452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</row>
    <row r="89" spans="1:54" x14ac:dyDescent="0.25">
      <c r="A89" s="50" t="s">
        <v>451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0.85</v>
      </c>
      <c r="I89">
        <v>0.85</v>
      </c>
      <c r="J89">
        <v>0.85</v>
      </c>
      <c r="K89">
        <v>0.85</v>
      </c>
      <c r="L89">
        <v>0.85</v>
      </c>
      <c r="M89">
        <v>0.85</v>
      </c>
      <c r="N89">
        <v>0.85</v>
      </c>
      <c r="O89">
        <v>0.85</v>
      </c>
      <c r="P89">
        <v>0.85</v>
      </c>
      <c r="Q89">
        <v>0.85</v>
      </c>
      <c r="R89">
        <v>0.85</v>
      </c>
      <c r="S89">
        <v>0.85</v>
      </c>
      <c r="T89">
        <v>0.85</v>
      </c>
      <c r="U89">
        <v>0.85</v>
      </c>
      <c r="V89">
        <v>0.85</v>
      </c>
      <c r="W89">
        <v>1</v>
      </c>
      <c r="X89">
        <v>1</v>
      </c>
      <c r="Y89">
        <v>1</v>
      </c>
    </row>
    <row r="90" spans="1:54" x14ac:dyDescent="0.25">
      <c r="A90" s="50" t="s">
        <v>433</v>
      </c>
      <c r="B90">
        <f>(B75*0.35+B76*0.6)/B81</f>
        <v>0.57727272727272727</v>
      </c>
      <c r="C90">
        <f t="shared" ref="C90:Y90" si="3">(C75*0.35+C76*0.6)/C81</f>
        <v>0.54230769230769227</v>
      </c>
      <c r="D90">
        <f t="shared" si="3"/>
        <v>0.49705882352941172</v>
      </c>
      <c r="E90">
        <f t="shared" si="3"/>
        <v>0.47499999999999998</v>
      </c>
      <c r="F90">
        <f t="shared" si="3"/>
        <v>0.47499999999999998</v>
      </c>
      <c r="G90">
        <f t="shared" si="3"/>
        <v>0.47499999999999998</v>
      </c>
      <c r="H90">
        <f t="shared" si="3"/>
        <v>0.47499999999999998</v>
      </c>
      <c r="I90">
        <f t="shared" si="3"/>
        <v>0.47499999999999998</v>
      </c>
      <c r="J90">
        <f t="shared" si="3"/>
        <v>0.47499999999999998</v>
      </c>
      <c r="K90">
        <f t="shared" si="3"/>
        <v>0.47499999999999998</v>
      </c>
      <c r="L90">
        <f t="shared" si="3"/>
        <v>0.47499999999999998</v>
      </c>
      <c r="M90">
        <f t="shared" si="3"/>
        <v>0.47499999999999998</v>
      </c>
      <c r="N90">
        <f t="shared" si="3"/>
        <v>0.47499999999999998</v>
      </c>
      <c r="O90">
        <f t="shared" si="3"/>
        <v>0.47499999999999998</v>
      </c>
      <c r="P90">
        <f t="shared" si="3"/>
        <v>0.47499999999999998</v>
      </c>
      <c r="Q90">
        <f t="shared" si="3"/>
        <v>0.47499999999999998</v>
      </c>
      <c r="R90">
        <f t="shared" si="3"/>
        <v>0.48157894736842105</v>
      </c>
      <c r="S90">
        <f t="shared" si="3"/>
        <v>0.48157894736842105</v>
      </c>
      <c r="T90">
        <f t="shared" si="3"/>
        <v>0.49705882352941172</v>
      </c>
      <c r="U90">
        <f t="shared" si="3"/>
        <v>0.51666666666666672</v>
      </c>
      <c r="V90">
        <f t="shared" si="3"/>
        <v>0.54230769230769227</v>
      </c>
      <c r="W90">
        <f t="shared" si="3"/>
        <v>0.57727272727272727</v>
      </c>
      <c r="X90">
        <f t="shared" si="3"/>
        <v>0.6</v>
      </c>
      <c r="Y90">
        <f t="shared" si="3"/>
        <v>0.6</v>
      </c>
    </row>
    <row r="91" spans="1:54" x14ac:dyDescent="0.25">
      <c r="A91" s="50" t="s">
        <v>435</v>
      </c>
      <c r="B91">
        <v>0.8</v>
      </c>
      <c r="C91">
        <v>0.8</v>
      </c>
      <c r="D91">
        <v>0.8</v>
      </c>
      <c r="E91">
        <v>0.8</v>
      </c>
      <c r="F91">
        <v>0.8</v>
      </c>
      <c r="G91">
        <v>0.8</v>
      </c>
      <c r="H91">
        <v>0.8</v>
      </c>
      <c r="I91">
        <v>0.8</v>
      </c>
      <c r="J91">
        <v>0.8</v>
      </c>
      <c r="K91">
        <v>0.8</v>
      </c>
      <c r="L91">
        <v>0.8</v>
      </c>
      <c r="M91">
        <v>0.8</v>
      </c>
      <c r="N91">
        <v>0.8</v>
      </c>
      <c r="O91">
        <v>0.8</v>
      </c>
      <c r="P91">
        <v>0.8</v>
      </c>
      <c r="Q91">
        <v>0.8</v>
      </c>
      <c r="R91">
        <v>0.8</v>
      </c>
      <c r="S91">
        <v>0.8</v>
      </c>
      <c r="T91">
        <v>0.8</v>
      </c>
      <c r="U91">
        <v>0.8</v>
      </c>
      <c r="V91">
        <v>0.8</v>
      </c>
      <c r="W91">
        <v>0.8</v>
      </c>
      <c r="X91">
        <v>0.8</v>
      </c>
      <c r="Y91">
        <v>0.8</v>
      </c>
    </row>
    <row r="92" spans="1:54" x14ac:dyDescent="0.25">
      <c r="A92" s="50" t="s">
        <v>436</v>
      </c>
      <c r="B92">
        <v>0.85</v>
      </c>
      <c r="C92">
        <v>0.85</v>
      </c>
      <c r="D92">
        <v>0.85</v>
      </c>
      <c r="E92">
        <v>0.85</v>
      </c>
      <c r="F92">
        <v>0.85</v>
      </c>
      <c r="G92">
        <v>0.85</v>
      </c>
      <c r="H92">
        <v>0.85</v>
      </c>
      <c r="I92">
        <v>0.85</v>
      </c>
      <c r="J92">
        <v>0.85</v>
      </c>
      <c r="K92">
        <v>0.85</v>
      </c>
      <c r="L92">
        <v>0.85</v>
      </c>
      <c r="M92">
        <v>0.85</v>
      </c>
      <c r="N92">
        <v>0.85</v>
      </c>
      <c r="O92">
        <v>0.85</v>
      </c>
      <c r="P92">
        <v>0.85</v>
      </c>
      <c r="Q92">
        <v>0.85</v>
      </c>
      <c r="R92">
        <v>0.85</v>
      </c>
      <c r="S92">
        <v>0.85</v>
      </c>
      <c r="T92">
        <v>0.85</v>
      </c>
      <c r="U92">
        <v>0.85</v>
      </c>
      <c r="V92">
        <v>0.85</v>
      </c>
      <c r="W92">
        <v>0.85</v>
      </c>
      <c r="X92">
        <v>0.85</v>
      </c>
      <c r="Y92">
        <v>0.85</v>
      </c>
    </row>
  </sheetData>
  <mergeCells count="36">
    <mergeCell ref="BA60:BB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  <mergeCell ref="X60:Y60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33:Y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fonctionnement troupeau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2023-01-25T08:00:22Z</dcterms:modified>
</cp:coreProperties>
</file>