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130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BD6" i="29" s="1"/>
  <c r="AX6" i="29"/>
  <c r="AY6" i="29"/>
  <c r="AZ6" i="29"/>
  <c r="BA6" i="29"/>
  <c r="BB6" i="29"/>
  <c r="BC6" i="29"/>
  <c r="BE6" i="29"/>
  <c r="BF6" i="29" s="1"/>
  <c r="AV7" i="29"/>
  <c r="AW7" i="29"/>
  <c r="BK7" i="29" s="1"/>
  <c r="AX7" i="29"/>
  <c r="AY7" i="29"/>
  <c r="AZ7" i="29"/>
  <c r="BA7" i="29"/>
  <c r="BB7" i="29"/>
  <c r="BC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AV9" i="29"/>
  <c r="AW9" i="29"/>
  <c r="AX9" i="29"/>
  <c r="AY9" i="29"/>
  <c r="BD9" i="29" s="1"/>
  <c r="BE9" i="29" s="1"/>
  <c r="BF9" i="29" s="1"/>
  <c r="AZ9" i="29"/>
  <c r="AV10" i="29"/>
  <c r="AW10" i="29"/>
  <c r="AX10" i="29"/>
  <c r="AY10" i="29"/>
  <c r="BD10" i="29" s="1"/>
  <c r="BE10" i="29" s="1"/>
  <c r="BF10" i="29" s="1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BL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 s="1"/>
  <c r="BF20" i="29" s="1"/>
  <c r="BL20" i="29" s="1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AZ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D25" i="29" l="1"/>
  <c r="BE25" i="29" s="1"/>
  <c r="BF25" i="29" s="1"/>
  <c r="BI25" i="29" s="1"/>
  <c r="BK22" i="29"/>
  <c r="BG22" i="29"/>
  <c r="BJ22" i="29"/>
  <c r="BG18" i="29"/>
  <c r="BI18" i="29"/>
  <c r="BJ18" i="29"/>
  <c r="BK18" i="29"/>
  <c r="BL18" i="29"/>
  <c r="BH17" i="29"/>
  <c r="BI17" i="29"/>
  <c r="BJ17" i="29"/>
  <c r="BK17" i="29"/>
  <c r="BL17" i="29"/>
  <c r="BG17" i="29"/>
  <c r="BJ23" i="29"/>
  <c r="BK23" i="29"/>
  <c r="BL23" i="29"/>
  <c r="BG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H15" i="29"/>
  <c r="BI15" i="29"/>
  <c r="BL13" i="29"/>
  <c r="BK13" i="29"/>
  <c r="BG13" i="29"/>
  <c r="BH13" i="29"/>
  <c r="BI13" i="29"/>
  <c r="BJ13" i="29"/>
  <c r="BG12" i="29"/>
  <c r="BH10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H14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H20" i="29"/>
  <c r="BD16" i="29"/>
  <c r="BE16" i="29" s="1"/>
  <c r="BF16" i="29" s="1"/>
  <c r="BJ16" i="29" s="1"/>
  <c r="BH12" i="29"/>
  <c r="BD8" i="29"/>
  <c r="BE8" i="29" s="1"/>
  <c r="BF8" i="29" s="1"/>
  <c r="BJ8" i="29" s="1"/>
  <c r="BH27" i="29"/>
  <c r="BL30" i="29"/>
  <c r="BL22" i="29"/>
  <c r="BL14" i="29"/>
  <c r="BL6" i="29"/>
  <c r="BH25" i="29" l="1"/>
  <c r="BG25" i="29"/>
  <c r="BK25" i="29"/>
  <c r="BJ25" i="29"/>
  <c r="BL25" i="29"/>
  <c r="BK8" i="29"/>
  <c r="BJ24" i="29"/>
  <c r="BK16" i="29"/>
  <c r="BK11" i="29"/>
  <c r="BL24" i="29"/>
  <c r="BL8" i="29"/>
  <c r="BI11" i="29"/>
  <c r="BG16" i="29"/>
  <c r="BG11" i="29"/>
  <c r="BH11" i="29"/>
  <c r="BL19" i="29"/>
  <c r="BI16" i="29"/>
  <c r="BH16" i="29"/>
  <c r="BJ11" i="29"/>
  <c r="BG8" i="29"/>
  <c r="BG19" i="29"/>
  <c r="BH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X87" i="30"/>
  <c r="CS87" i="30"/>
  <c r="CR87" i="30"/>
  <c r="CQ87" i="30"/>
  <c r="CP87" i="30"/>
  <c r="CO87" i="30"/>
  <c r="CN87" i="30"/>
  <c r="CM87" i="30"/>
  <c r="CL87" i="30"/>
  <c r="CS86" i="30"/>
  <c r="CR86" i="30"/>
  <c r="CQ86" i="30"/>
  <c r="CP86" i="30"/>
  <c r="CO86" i="30"/>
  <c r="CN86" i="30"/>
  <c r="CM86" i="30"/>
  <c r="CL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CB87" i="30" l="1"/>
  <c r="CJ87" i="30"/>
  <c r="CB86" i="30"/>
  <c r="CH87" i="30"/>
  <c r="CH86" i="30"/>
  <c r="CJ86" i="30"/>
  <c r="CX86" i="30"/>
  <c r="CI86" i="30"/>
  <c r="CY86" i="30"/>
  <c r="CI87" i="30"/>
  <c r="CY87" i="30"/>
  <c r="CC86" i="30"/>
  <c r="CK86" i="30"/>
  <c r="CC87" i="30"/>
  <c r="CK87" i="30"/>
  <c r="CD86" i="30"/>
  <c r="CT86" i="30"/>
  <c r="CD87" i="30"/>
  <c r="CT87" i="30"/>
  <c r="CE86" i="30"/>
  <c r="CU86" i="30"/>
  <c r="CE87" i="30"/>
  <c r="CU87" i="30"/>
  <c r="CF86" i="30"/>
  <c r="CV86" i="30"/>
  <c r="CF87" i="30"/>
  <c r="CV87" i="30"/>
  <c r="CG86" i="30"/>
  <c r="CW86" i="30"/>
  <c r="CG87" i="30"/>
  <c r="CW87" i="30"/>
  <c r="AZ106" i="30"/>
  <c r="BA106" i="30"/>
  <c r="BB106" i="30"/>
  <c r="BC106" i="30"/>
  <c r="BD106" i="30"/>
  <c r="BE106" i="30"/>
  <c r="BF106" i="30"/>
  <c r="AY106" i="30"/>
  <c r="R8" i="7"/>
  <c r="S8" i="7"/>
  <c r="U8" i="7"/>
  <c r="R9" i="7"/>
  <c r="S9" i="7"/>
  <c r="U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Z89" i="33" s="1"/>
  <c r="AU88" i="33"/>
  <c r="AU87" i="33"/>
  <c r="BR87" i="33" s="1"/>
  <c r="C83" i="33"/>
  <c r="C62" i="33"/>
  <c r="C61" i="33"/>
  <c r="D61" i="33" s="1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I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BJ89" i="33" l="1"/>
  <c r="CM89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D17" i="30" s="1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K7" i="30"/>
  <c r="CJ7" i="30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G91" i="30" s="1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S93" i="30" s="1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I92" i="30" s="1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AZ38" i="30"/>
  <c r="AZ91" i="30" s="1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O91" i="30"/>
  <c r="BM91" i="30"/>
  <c r="BI91" i="30"/>
  <c r="BH91" i="30"/>
  <c r="BG91" i="30"/>
  <c r="BB91" i="30"/>
  <c r="BA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T109" i="30" s="1"/>
  <c r="CL18" i="30"/>
  <c r="CL63" i="30" s="1"/>
  <c r="CL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C18" i="30"/>
  <c r="CC63" i="30" s="1"/>
  <c r="CC109" i="30" s="1"/>
  <c r="CB18" i="30"/>
  <c r="CB63" i="30" s="1"/>
  <c r="CB109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E108" i="30" s="1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C4" i="29" s="1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C31" i="29" s="1"/>
  <c r="K25" i="29"/>
  <c r="C25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F17" i="30" l="1"/>
  <c r="C252" i="33" s="1"/>
  <c r="D252" i="33" s="1"/>
  <c r="S3" i="29"/>
  <c r="T112" i="29"/>
  <c r="G73" i="30"/>
  <c r="C29" i="29"/>
  <c r="O73" i="30"/>
  <c r="K29" i="29"/>
  <c r="C20" i="29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C171" i="31"/>
  <c r="K113" i="31"/>
  <c r="K111" i="31"/>
  <c r="K110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L114" i="31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O26" i="29"/>
  <c r="O30" i="29" s="1"/>
  <c r="O25" i="29"/>
  <c r="W26" i="29"/>
  <c r="W30" i="29" s="1"/>
  <c r="W25" i="29"/>
  <c r="P5" i="29"/>
  <c r="P9" i="29" s="1"/>
  <c r="P20" i="29"/>
  <c r="P21" i="29" s="1"/>
  <c r="P7" i="29" s="1"/>
  <c r="P12" i="29" s="1"/>
  <c r="P4" i="29"/>
  <c r="P3" i="29"/>
  <c r="X26" i="29"/>
  <c r="X30" i="29" s="1"/>
  <c r="X25" i="29"/>
  <c r="H5" i="29"/>
  <c r="H9" i="29" s="1"/>
  <c r="H20" i="29"/>
  <c r="H4" i="29"/>
  <c r="H3" i="29"/>
  <c r="L72" i="30" s="1"/>
  <c r="H26" i="29"/>
  <c r="H30" i="29" s="1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Q26" i="29"/>
  <c r="Q30" i="29" s="1"/>
  <c r="Q25" i="29"/>
  <c r="Y26" i="29"/>
  <c r="Y30" i="29" s="1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30" i="29" s="1"/>
  <c r="D25" i="29"/>
  <c r="L26" i="29"/>
  <c r="L30" i="29" s="1"/>
  <c r="L25" i="29"/>
  <c r="T26" i="29"/>
  <c r="T30" i="29" s="1"/>
  <c r="T25" i="29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M26" i="29"/>
  <c r="M30" i="29" s="1"/>
  <c r="M25" i="29"/>
  <c r="U26" i="29"/>
  <c r="U30" i="29" s="1"/>
  <c r="U25" i="29"/>
  <c r="C3" i="29"/>
  <c r="S25" i="29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112" i="29"/>
  <c r="N112" i="29"/>
  <c r="N26" i="29"/>
  <c r="N30" i="29" s="1"/>
  <c r="N25" i="29"/>
  <c r="V112" i="29"/>
  <c r="V26" i="29"/>
  <c r="V30" i="29" s="1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H106" i="30" s="1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T13" i="7"/>
  <c r="T12" i="7"/>
  <c r="T11" i="7"/>
  <c r="Z72" i="30" l="1"/>
  <c r="W72" i="30"/>
  <c r="H73" i="30"/>
  <c r="D29" i="29"/>
  <c r="AC73" i="30"/>
  <c r="Y29" i="29"/>
  <c r="F29" i="29"/>
  <c r="J73" i="30"/>
  <c r="U29" i="29"/>
  <c r="Y73" i="30"/>
  <c r="H29" i="29"/>
  <c r="L73" i="30"/>
  <c r="G29" i="29"/>
  <c r="K73" i="30"/>
  <c r="V29" i="29"/>
  <c r="Z73" i="30"/>
  <c r="P29" i="29"/>
  <c r="T73" i="30"/>
  <c r="Q29" i="29"/>
  <c r="U73" i="30"/>
  <c r="AD73" i="30"/>
  <c r="Z29" i="29"/>
  <c r="M29" i="29"/>
  <c r="Q73" i="30"/>
  <c r="R29" i="29"/>
  <c r="V73" i="30"/>
  <c r="T29" i="29"/>
  <c r="X73" i="30"/>
  <c r="M73" i="30"/>
  <c r="I29" i="29"/>
  <c r="J29" i="29"/>
  <c r="N73" i="30"/>
  <c r="N29" i="29"/>
  <c r="R73" i="30"/>
  <c r="E29" i="29"/>
  <c r="I73" i="30"/>
  <c r="W29" i="29"/>
  <c r="AA73" i="30"/>
  <c r="P73" i="30"/>
  <c r="L29" i="29"/>
  <c r="C30" i="29"/>
  <c r="C32" i="29" s="1"/>
  <c r="C34" i="29" s="1"/>
  <c r="S29" i="29"/>
  <c r="W73" i="30"/>
  <c r="X29" i="29"/>
  <c r="AB73" i="30"/>
  <c r="O29" i="29"/>
  <c r="S73" i="30"/>
  <c r="Q72" i="30"/>
  <c r="M8" i="29"/>
  <c r="M201" i="29" s="1"/>
  <c r="X8" i="29"/>
  <c r="AB72" i="30"/>
  <c r="U72" i="30"/>
  <c r="Q8" i="29"/>
  <c r="Q201" i="29" s="1"/>
  <c r="Z8" i="29"/>
  <c r="Z201" i="29" s="1"/>
  <c r="AD72" i="30"/>
  <c r="V72" i="30"/>
  <c r="R8" i="29"/>
  <c r="R201" i="29" s="1"/>
  <c r="P72" i="30"/>
  <c r="L8" i="29"/>
  <c r="N72" i="30"/>
  <c r="J8" i="29"/>
  <c r="N8" i="29"/>
  <c r="N201" i="29" s="1"/>
  <c r="R72" i="30"/>
  <c r="O8" i="29"/>
  <c r="O201" i="29" s="1"/>
  <c r="S72" i="30"/>
  <c r="O72" i="30"/>
  <c r="K8" i="29"/>
  <c r="G72" i="30"/>
  <c r="C8" i="29"/>
  <c r="C201" i="29" s="1"/>
  <c r="C212" i="29" s="1"/>
  <c r="AC72" i="30"/>
  <c r="M72" i="30"/>
  <c r="I8" i="29"/>
  <c r="I201" i="29" s="1"/>
  <c r="P8" i="29"/>
  <c r="T72" i="30"/>
  <c r="U8" i="29"/>
  <c r="Y72" i="30"/>
  <c r="I72" i="30"/>
  <c r="E8" i="29"/>
  <c r="E201" i="29" s="1"/>
  <c r="E212" i="29" s="1"/>
  <c r="X72" i="30"/>
  <c r="T8" i="29"/>
  <c r="T201" i="29" s="1"/>
  <c r="H72" i="30"/>
  <c r="D8" i="29"/>
  <c r="S8" i="29"/>
  <c r="F8" i="29"/>
  <c r="J72" i="30"/>
  <c r="AA72" i="30"/>
  <c r="G8" i="29"/>
  <c r="G201" i="29" s="1"/>
  <c r="K72" i="30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P201" i="29"/>
  <c r="K201" i="29"/>
  <c r="U167" i="28"/>
  <c r="V167" i="28"/>
  <c r="W167" i="28"/>
  <c r="AF188" i="28"/>
  <c r="V188" i="28"/>
  <c r="W188" i="28"/>
  <c r="L201" i="29"/>
  <c r="AN215" i="33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F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T240" i="3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11" i="29" l="1"/>
  <c r="C13" i="29" s="1"/>
  <c r="AI170" i="31"/>
  <c r="B110" i="30"/>
  <c r="F72" i="30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CQ85" i="30" s="1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191" i="33" l="1"/>
  <c r="B109" i="30"/>
  <c r="B112" i="30" s="1"/>
  <c r="BD86" i="30"/>
  <c r="BD87" i="30"/>
  <c r="AX86" i="30"/>
  <c r="AX87" i="30"/>
  <c r="BC87" i="30"/>
  <c r="BC86" i="30"/>
  <c r="AZ87" i="30"/>
  <c r="AZ86" i="30"/>
  <c r="BA87" i="30"/>
  <c r="BA86" i="30"/>
  <c r="AV86" i="30"/>
  <c r="AV87" i="30"/>
  <c r="AY86" i="30"/>
  <c r="AY87" i="30"/>
  <c r="BB86" i="30"/>
  <c r="BB87" i="30"/>
  <c r="AW87" i="30"/>
  <c r="AW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S102" i="30"/>
  <c r="X10" i="30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AZ76" i="33" l="1"/>
  <c r="AZ133" i="33" s="1"/>
  <c r="AZ152" i="33"/>
  <c r="AV76" i="33"/>
  <c r="AV152" i="33"/>
  <c r="BS76" i="33"/>
  <c r="BS122" i="33" s="1"/>
  <c r="BS168" i="33" s="1"/>
  <c r="BS152" i="33"/>
  <c r="AX76" i="33"/>
  <c r="AX133" i="33" s="1"/>
  <c r="AX152" i="33"/>
  <c r="BC76" i="33"/>
  <c r="BC133" i="33" s="1"/>
  <c r="BC152" i="33"/>
  <c r="AW76" i="33"/>
  <c r="AW152" i="33"/>
  <c r="BD76" i="33"/>
  <c r="BD122" i="33" s="1"/>
  <c r="BD168" i="33" s="1"/>
  <c r="BD152" i="33"/>
  <c r="BR76" i="33"/>
  <c r="BR122" i="33" s="1"/>
  <c r="BR168" i="33" s="1"/>
  <c r="BR152" i="33"/>
  <c r="BA76" i="33"/>
  <c r="BA133" i="33" s="1"/>
  <c r="BA152" i="33"/>
  <c r="AY76" i="33"/>
  <c r="AY152" i="33"/>
  <c r="BB76" i="33"/>
  <c r="BB122" i="33" s="1"/>
  <c r="BB168" i="33" s="1"/>
  <c r="BB152" i="33"/>
  <c r="BQ76" i="33"/>
  <c r="BQ152" i="33"/>
  <c r="AW78" i="33"/>
  <c r="AW154" i="33"/>
  <c r="BP78" i="33"/>
  <c r="BP154" i="33"/>
  <c r="BS78" i="33"/>
  <c r="BS124" i="33" s="1"/>
  <c r="BS170" i="33" s="1"/>
  <c r="BS154" i="33"/>
  <c r="AY78" i="33"/>
  <c r="AY124" i="33" s="1"/>
  <c r="AY170" i="33" s="1"/>
  <c r="AY154" i="33"/>
  <c r="BD78" i="33"/>
  <c r="BD154" i="33"/>
  <c r="BC78" i="33"/>
  <c r="BC154" i="33"/>
  <c r="AZ78" i="33"/>
  <c r="AZ124" i="33" s="1"/>
  <c r="AZ170" i="33" s="1"/>
  <c r="AZ154" i="33"/>
  <c r="BB78" i="33"/>
  <c r="BB135" i="33" s="1"/>
  <c r="BB154" i="33"/>
  <c r="BA78" i="33"/>
  <c r="BA135" i="33" s="1"/>
  <c r="BA154" i="33"/>
  <c r="BO78" i="33"/>
  <c r="BO154" i="33"/>
  <c r="BQ78" i="33"/>
  <c r="BQ124" i="33" s="1"/>
  <c r="BQ170" i="33" s="1"/>
  <c r="BQ154" i="33"/>
  <c r="AX78" i="33"/>
  <c r="AX124" i="33" s="1"/>
  <c r="AX170" i="33" s="1"/>
  <c r="AX154" i="33"/>
  <c r="AV78" i="33"/>
  <c r="AV154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B128" i="33"/>
  <c r="BB174" i="33" s="1"/>
  <c r="BB139" i="33"/>
  <c r="CO123" i="33"/>
  <c r="CO169" i="33" s="1"/>
  <c r="CO134" i="33"/>
  <c r="BC122" i="33"/>
  <c r="BC168" i="33" s="1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S133" i="33" l="1"/>
  <c r="BD133" i="33"/>
  <c r="BR133" i="33"/>
  <c r="BQ135" i="33"/>
  <c r="AZ135" i="33"/>
  <c r="BS135" i="33"/>
  <c r="BB124" i="33"/>
  <c r="BB170" i="33" s="1"/>
  <c r="AX135" i="33"/>
  <c r="BC160" i="33"/>
  <c r="BC161" i="33" s="1"/>
  <c r="BC162" i="33" s="1"/>
  <c r="AY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O76" i="33" l="1"/>
  <c r="BO152" i="33"/>
  <c r="BP76" i="33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CE147" i="33" l="1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87" i="30" l="1"/>
  <c r="BQ86" i="30"/>
  <c r="BR87" i="30"/>
  <c r="BR86" i="30"/>
  <c r="BS87" i="30"/>
  <c r="BS86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S190" i="24"/>
  <c r="R190" i="24"/>
  <c r="Q190" i="24"/>
  <c r="P190" i="24"/>
  <c r="O190" i="24"/>
  <c r="M190" i="24"/>
  <c r="L190" i="24"/>
  <c r="K190" i="24"/>
  <c r="I190" i="24"/>
  <c r="H190" i="24"/>
  <c r="G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Q175" i="24"/>
  <c r="P175" i="24"/>
  <c r="O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277" i="33" l="1"/>
  <c r="AL208" i="33"/>
  <c r="AL209" i="33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AL207" i="33" l="1"/>
  <c r="D210" i="33" s="1"/>
  <c r="L201" i="24"/>
  <c r="L211" i="24" s="1"/>
  <c r="L218" i="24" s="1"/>
  <c r="L175" i="24"/>
  <c r="F176" i="24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V188" i="24" s="1"/>
  <c r="V198" i="24" s="1"/>
  <c r="V217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90" i="24" s="1"/>
  <c r="F198" i="24" s="1"/>
  <c r="F217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U190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N177" i="24" l="1"/>
  <c r="N190" i="24"/>
  <c r="N198" i="24" s="1"/>
  <c r="N217" i="24" s="1"/>
  <c r="J177" i="24"/>
  <c r="J190" i="24"/>
  <c r="J198" i="24" s="1"/>
  <c r="J217" i="24" s="1"/>
  <c r="O201" i="24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T177" i="24"/>
  <c r="T190" i="24"/>
  <c r="T198" i="24" s="1"/>
  <c r="T217" i="24" s="1"/>
  <c r="M201" i="24"/>
  <c r="M211" i="24" s="1"/>
  <c r="M218" i="24" s="1"/>
  <c r="M175" i="24"/>
  <c r="M185" i="24" s="1"/>
  <c r="M216" i="24" s="1"/>
  <c r="N201" i="24"/>
  <c r="N211" i="24" s="1"/>
  <c r="N218" i="24" s="1"/>
  <c r="N175" i="24"/>
  <c r="N185" i="24" s="1"/>
  <c r="N216" i="24" s="1"/>
  <c r="R201" i="24"/>
  <c r="R211" i="24" s="1"/>
  <c r="R218" i="24" s="1"/>
  <c r="R175" i="24"/>
  <c r="R185" i="24" s="1"/>
  <c r="R216" i="24" s="1"/>
  <c r="P201" i="24"/>
  <c r="P211" i="24" s="1"/>
  <c r="P218" i="24" s="1"/>
  <c r="P162" i="24"/>
  <c r="P172" i="24" s="1"/>
  <c r="P215" i="24" s="1"/>
  <c r="D217" i="33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BC21" i="29" s="1"/>
  <c r="U22" i="7"/>
  <c r="BC24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T16" i="7"/>
  <c r="BB18" i="29" s="1"/>
  <c r="BH18" i="29" s="1"/>
  <c r="L2" i="7"/>
  <c r="M2" i="7" s="1"/>
  <c r="U23" i="7" l="1"/>
  <c r="BC25" i="29" s="1"/>
  <c r="T6" i="7"/>
  <c r="BB8" i="29" s="1"/>
  <c r="T7" i="7"/>
  <c r="BB9" i="29" s="1"/>
  <c r="T15" i="7"/>
  <c r="T10" i="7"/>
  <c r="V22" i="7"/>
  <c r="T22" i="7"/>
  <c r="BB24" i="29" s="1"/>
  <c r="V11" i="7"/>
  <c r="U11" i="7"/>
  <c r="V12" i="7"/>
  <c r="U12" i="7"/>
  <c r="V16" i="7"/>
  <c r="U16" i="7"/>
  <c r="BC18" i="29" s="1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M25" i="7"/>
  <c r="T3" i="7"/>
  <c r="BB5" i="29" s="1"/>
  <c r="L30" i="7"/>
  <c r="M26" i="7"/>
  <c r="M37" i="7"/>
  <c r="M32" i="7"/>
  <c r="M31" i="7"/>
  <c r="M33" i="7"/>
  <c r="M34" i="7"/>
  <c r="M27" i="7"/>
  <c r="M29" i="7"/>
  <c r="M36" i="7"/>
  <c r="U20" i="7"/>
  <c r="BC22" i="29" s="1"/>
  <c r="U24" i="7"/>
  <c r="M28" i="7"/>
  <c r="M39" i="7"/>
  <c r="L66" i="7"/>
  <c r="U21" i="7"/>
  <c r="BC23" i="29" s="1"/>
  <c r="V23" i="7" l="1"/>
  <c r="T23" i="7"/>
  <c r="BB25" i="29" s="1"/>
  <c r="U15" i="7"/>
  <c r="V6" i="7"/>
  <c r="V15" i="7"/>
  <c r="V4" i="7"/>
  <c r="T4" i="7"/>
  <c r="U4" i="7"/>
  <c r="V9" i="7"/>
  <c r="T9" i="7"/>
  <c r="T8" i="7"/>
  <c r="V8" i="7"/>
  <c r="U7" i="7"/>
  <c r="BC9" i="29" s="1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BB22" i="29" s="1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BC5" i="29" s="1"/>
  <c r="R28" i="7"/>
  <c r="S28" i="7"/>
  <c r="U5" i="7"/>
  <c r="R21" i="7"/>
  <c r="S21" i="7"/>
  <c r="BA23" i="29" s="1"/>
  <c r="R24" i="7"/>
  <c r="S24" i="7"/>
  <c r="R20" i="7"/>
  <c r="S20" i="7"/>
  <c r="BA22" i="29" s="1"/>
  <c r="U39" i="7"/>
  <c r="R29" i="7"/>
  <c r="S29" i="7"/>
  <c r="U32" i="7"/>
  <c r="S25" i="7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C183" i="33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3" i="30" s="1"/>
  <c r="T234" i="31"/>
  <c r="T272" i="31" s="1"/>
  <c r="X272" i="31" s="1"/>
  <c r="J142" i="31" s="1"/>
  <c r="C220" i="33" s="1"/>
  <c r="AK26" i="29"/>
  <c r="C184" i="33" s="1"/>
  <c r="C185" i="33" s="1"/>
  <c r="D185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4" i="30" l="1"/>
  <c r="C192" i="33" s="1"/>
  <c r="C276" i="33" s="1"/>
  <c r="C293" i="33" s="1"/>
  <c r="X234" i="31"/>
  <c r="C307" i="33" s="1"/>
  <c r="B167" i="31"/>
  <c r="J167" i="31" s="1"/>
  <c r="C235" i="33" s="1"/>
  <c r="C236" i="33" s="1"/>
  <c r="D184" i="33"/>
  <c r="D183" i="33" s="1"/>
  <c r="AJ216" i="33" s="1"/>
  <c r="AN216" i="33" s="1"/>
  <c r="D220" i="33" s="1"/>
  <c r="B115" i="30"/>
  <c r="B126" i="30" s="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X237" i="31" l="1"/>
  <c r="C243" i="33" s="1"/>
  <c r="D243" i="33" s="1"/>
  <c r="Q201" i="18"/>
  <c r="Q162" i="18"/>
  <c r="N201" i="18"/>
  <c r="N162" i="18"/>
  <c r="O201" i="18"/>
  <c r="O211" i="18" s="1"/>
  <c r="O218" i="18" s="1"/>
  <c r="T9" i="22" s="1"/>
  <c r="O162" i="18"/>
  <c r="R201" i="18"/>
  <c r="R211" i="18" s="1"/>
  <c r="R218" i="18" s="1"/>
  <c r="W9" i="22" s="1"/>
  <c r="R162" i="18"/>
  <c r="R172" i="18" s="1"/>
  <c r="R215" i="18" s="1"/>
  <c r="W5" i="22" s="1"/>
  <c r="S201" i="18"/>
  <c r="S162" i="18"/>
  <c r="P201" i="18"/>
  <c r="P162" i="18"/>
  <c r="M201" i="18"/>
  <c r="M211" i="18" s="1"/>
  <c r="M218" i="18" s="1"/>
  <c r="R9" i="22" s="1"/>
  <c r="M162" i="18"/>
  <c r="M172" i="18" s="1"/>
  <c r="M215" i="18" s="1"/>
  <c r="R5" i="22" s="1"/>
  <c r="BR39" i="23"/>
  <c r="H93" i="23" s="1"/>
  <c r="H95" i="23" s="1"/>
  <c r="J170" i="31"/>
  <c r="AK225" i="33"/>
  <c r="AO225" i="33" s="1"/>
  <c r="AO228" i="33" s="1"/>
  <c r="D192" i="33"/>
  <c r="D235" i="33" s="1"/>
  <c r="D236" i="33" s="1"/>
  <c r="C290" i="33"/>
  <c r="BR37" i="23"/>
  <c r="F93" i="23" s="1"/>
  <c r="F95" i="23" s="1"/>
  <c r="W172" i="18"/>
  <c r="W215" i="18" s="1"/>
  <c r="AB5" i="22" s="1"/>
  <c r="BN15" i="23" s="1"/>
  <c r="BN21" i="2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N211" i="18"/>
  <c r="N218" i="18" s="1"/>
  <c r="S9" i="22" s="1"/>
  <c r="I172" i="18"/>
  <c r="I215" i="18" s="1"/>
  <c r="N5" i="22" s="1"/>
  <c r="AZ15" i="23" s="1"/>
  <c r="AZ19" i="23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Z237" i="31" l="1"/>
  <c r="AA237" i="31" s="1"/>
  <c r="C244" i="33" s="1"/>
  <c r="D244" i="33" s="1"/>
  <c r="AQ228" i="33"/>
  <c r="AR228" i="33" s="1"/>
  <c r="AS228" i="33" s="1"/>
  <c r="AT228" i="33" s="1"/>
  <c r="AW228" i="33" s="1"/>
  <c r="D240" i="33" s="1"/>
  <c r="D276" i="33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AB237" i="31" l="1"/>
  <c r="AC237" i="31" s="1"/>
  <c r="AF237" i="31" s="1"/>
  <c r="B178" i="31" s="1"/>
  <c r="C240" i="33" s="1"/>
  <c r="D290" i="33"/>
  <c r="D292" i="33" s="1"/>
  <c r="D293" i="33"/>
  <c r="D161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<sst xmlns="http://schemas.openxmlformats.org/spreadsheetml/2006/main" count="3099" uniqueCount="1465">
  <si>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</si>
  <si>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</si>
  <si>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</si>
  <si>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</si>
  <si>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</si>
  <si>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</si>
  <si>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</si>
  <si>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</si>
  <si>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</si>
  <si>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</si>
  <si>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</si>
  <si>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</si>
  <si>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</si>
  <si>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</si>
  <si>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</si>
  <si>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</si>
  <si>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</si>
  <si>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</si>
  <si>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</si>
  <si>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</si>
  <si>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</si>
  <si>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</si>
  <si>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</si>
  <si>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</si>
  <si>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</si>
  <si>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</si>
  <si>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</si>
  <si>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</si>
  <si>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</si>
  <si>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</si>
  <si>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</si>
  <si>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</si>
  <si>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</si>
  <si>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</si>
  <si>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</si>
  <si>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</si>
  <si>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</si>
  <si>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</si>
  <si>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</si>
  <si>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</si>
  <si>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</si>
  <si>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</si>
  <si>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</si>
  <si>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</si>
  <si>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</si>
  <si>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</si>
  <si>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</si>
  <si>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</si>
  <si>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</si>
  <si>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</si>
  <si>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</si>
  <si>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</si>
  <si>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</si>
  <si>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</si>
  <si>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</si>
  <si>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</si>
  <si>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</si>
  <si>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</si>
  <si>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</si>
  <si>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</si>
  <si>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</si>
  <si>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</si>
  <si>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</si>
  <si>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</si>
  <si>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</si>
  <si>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</si>
  <si>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</si>
  <si>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</si>
  <si>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</si>
  <si>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</si>
  <si>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</si>
  <si>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</si>
  <si>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</si>
  <si>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</si>
  <si>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</si>
  <si>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</si>
  <si>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</si>
  <si>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</si>
  <si>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</si>
  <si>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</si>
  <si>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</si>
  <si>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</si>
  <si>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</si>
  <si>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</si>
  <si>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</si>
  <si>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</si>
  <si>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</si>
  <si>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</si>
  <si>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</si>
  <si>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</si>
  <si>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</si>
  <si>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</si>
  <si>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</si>
  <si>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</si>
  <si>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</si>
  <si>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</si>
  <si>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</si>
  <si>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</si>
  <si>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</si>
  <si>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</si>
  <si>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</si>
  <si>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</si>
  <si>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</si>
  <si>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</si>
  <si>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</si>
  <si>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</si>
  <si>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</si>
  <si>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</si>
  <si>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</si>
  <si>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</si>
  <si>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</si>
  <si>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</si>
  <si>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</si>
  <si>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</si>
  <si>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</si>
  <si>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</si>
  <si>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</si>
  <si>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</si>
  <si>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</si>
  <si>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</si>
  <si>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</si>
  <si>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</si>
  <si>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</si>
  <si>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</si>
  <si>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</si>
  <si>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</si>
  <si>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</si>
  <si>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</si>
  <si>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</si>
  <si>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</si>
  <si>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</si>
  <si>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</si>
  <si>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</si>
  <si>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</si>
  <si>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</si>
  <si>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</si>
  <si>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</si>
  <si>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</si>
  <si>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</si>
  <si>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</si>
  <si>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</si>
  <si>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</si>
  <si>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</si>
  <si>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</si>
  <si>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</si>
  <si>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</si>
  <si>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</si>
  <si>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</si>
  <si>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</si>
  <si>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</si>
  <si>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</si>
  <si>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</si>
  <si>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</si>
  <si>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</si>
  <si>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</si>
  <si>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</si>
  <si>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</si>
  <si>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</si>
  <si>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</si>
  <si>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</si>
  <si>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</si>
  <si>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</si>
  <si>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</si>
  <si>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</si>
  <si>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</si>
  <si>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</si>
  <si>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</si>
  <si>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</si>
  <si>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</si>
  <si>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</si>
  <si>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</si>
  <si>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</si>
  <si>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</si>
  <si>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</si>
  <si>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</si>
  <si>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</si>
  <si>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</si>
  <si>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</si>
  <si>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</si>
  <si>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</si>
  <si>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</si>
  <si>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</si>
  <si>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</si>
  <si>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</si>
  <si>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</si>
  <si>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</si>
  <si>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</si>
  <si>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</si>
  <si>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</si>
  <si>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</si>
  <si>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</si>
  <si>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</si>
  <si>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</si>
  <si>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</si>
  <si>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</si>
  <si>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</si>
  <si>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</si>
  <si>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</si>
  <si>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</si>
  <si>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</si>
  <si>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</si>
  <si>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</si>
  <si>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</si>
  <si>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</si>
  <si>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</si>
  <si>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</si>
  <si>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</si>
  <si>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</si>
  <si>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</si>
  <si>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</si>
  <si>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</si>
  <si>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</si>
  <si>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</si>
  <si>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</si>
  <si>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</si>
  <si>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</si>
  <si>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</si>
  <si>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</si>
  <si>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</si>
  <si>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</si>
  <si>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</si>
  <si>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</si>
  <si>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</si>
  <si>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</si>
  <si>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</si>
  <si>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</si>
  <si>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</si>
  <si>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</si>
  <si>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</si>
  <si>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</si>
  <si>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</si>
  <si>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</si>
  <si>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</si>
  <si>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</si>
  <si>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</si>
  <si>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</si>
  <si>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</si>
  <si>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</si>
  <si>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</si>
  <si>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</si>
  <si>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</si>
  <si>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</si>
  <si>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</si>
  <si>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</si>
  <si>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</si>
  <si>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</si>
  <si>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</si>
  <si>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</si>
  <si>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</si>
  <si>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</si>
  <si>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</si>
  <si>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</si>
  <si>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</si>
  <si>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</si>
  <si>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</si>
  <si>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</si>
  <si>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</si>
  <si>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</si>
  <si>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</si>
  <si>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</si>
  <si>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</si>
  <si>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</si>
  <si>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</si>
  <si>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</si>
  <si>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</si>
  <si>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</si>
  <si>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</si>
  <si>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</si>
  <si>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</si>
  <si>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</si>
  <si>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</si>
  <si>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</si>
  <si>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</si>
  <si>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</si>
  <si>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</si>
  <si>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</si>
  <si>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</si>
  <si>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</si>
  <si>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</si>
  <si>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</si>
  <si>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</si>
  <si>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</si>
  <si>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</si>
  <si>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</si>
  <si>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</si>
  <si>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</si>
  <si>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</si>
  <si>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</si>
  <si>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</si>
  <si>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</si>
  <si>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</si>
  <si>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</si>
  <si>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</si>
  <si>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</si>
  <si>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</si>
  <si>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</si>
  <si>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</si>
  <si>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</si>
  <si>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</si>
  <si>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</si>
  <si>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</si>
  <si>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</si>
  <si>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</si>
  <si>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</si>
  <si>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</si>
  <si>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</si>
  <si>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</si>
  <si>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</si>
  <si>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</si>
  <si>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</si>
  <si>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</si>
  <si>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</si>
  <si>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</si>
  <si>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</si>
  <si>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</si>
  <si>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</si>
  <si>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</si>
  <si>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</si>
  <si>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</si>
  <si>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</si>
  <si>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</si>
  <si>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</si>
  <si>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</si>
  <si>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</si>
  <si>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</si>
  <si>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</si>
  <si>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</si>
  <si>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</si>
  <si>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</si>
  <si>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</si>
  <si>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</si>
  <si>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</si>
  <si>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</si>
  <si>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</si>
  <si>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</si>
  <si>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</si>
  <si>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</si>
  <si>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</si>
  <si>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</si>
  <si>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</si>
  <si>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</si>
  <si>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</si>
  <si>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</si>
  <si>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</si>
  <si>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</si>
  <si>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</si>
  <si>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</si>
  <si>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</si>
  <si>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</si>
  <si>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</si>
  <si>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</si>
  <si>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</si>
  <si>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</si>
  <si>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</si>
  <si>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</si>
  <si>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</si>
  <si>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</si>
  <si>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</si>
  <si>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</si>
  <si>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</si>
  <si>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</si>
  <si>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</si>
  <si>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</si>
  <si>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</si>
  <si>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</si>
  <si>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</si>
  <si>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</si>
  <si>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</si>
  <si>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</si>
  <si>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</si>
  <si>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</si>
  <si>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</si>
  <si>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</si>
  <si>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</si>
  <si>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</si>
  <si>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</si>
  <si>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</si>
  <si>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</si>
  <si>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</si>
  <si>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</si>
  <si>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</si>
  <si>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</si>
  <si>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</si>
  <si>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</si>
  <si>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</si>
  <si>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</si>
  <si>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</si>
  <si>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</si>
  <si>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</si>
  <si>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</si>
  <si>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</si>
  <si>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</si>
  <si>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</si>
  <si>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</si>
  <si>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</si>
  <si>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</si>
  <si>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</si>
  <si>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</si>
  <si>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</si>
  <si>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</si>
  <si>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</si>
  <si>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</si>
  <si>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</si>
  <si>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</si>
  <si>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</si>
  <si>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</si>
  <si>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</si>
  <si>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</si>
  <si>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</si>
  <si>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</si>
  <si>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</si>
  <si>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</si>
  <si>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</si>
  <si>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</si>
  <si>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</si>
  <si>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</si>
  <si>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</si>
  <si>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</si>
  <si>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</si>
  <si>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</si>
  <si>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</si>
  <si>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</si>
  <si>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</si>
  <si>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</si>
  <si>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</si>
  <si>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</si>
  <si>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</si>
  <si>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</si>
  <si>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</si>
  <si>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</si>
  <si>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</si>
  <si>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</si>
  <si>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</si>
  <si>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</si>
  <si>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</si>
  <si>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</si>
  <si>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</si>
  <si>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</si>
  <si>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</si>
  <si>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</si>
  <si>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</si>
  <si>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</si>
  <si>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</si>
  <si>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</si>
  <si>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</si>
  <si>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</si>
  <si>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</si>
  <si>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</si>
  <si>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</si>
  <si>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</si>
  <si>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</si>
  <si>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</si>
  <si>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</si>
  <si>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</si>
  <si>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</si>
  <si>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</si>
  <si>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</si>
  <si>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</si>
  <si>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</si>
  <si>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</si>
  <si>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</si>
  <si>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</si>
  <si>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</si>
  <si>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</si>
  <si>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</si>
  <si>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</si>
  <si>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</si>
  <si>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</si>
  <si>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</si>
  <si>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</si>
  <si>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</si>
  <si>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</si>
  <si>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</si>
  <si>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</si>
  <si>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</si>
  <si>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</si>
  <si>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</si>
  <si>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</si>
  <si>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</si>
  <si>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</si>
  <si>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</si>
  <si>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</si>
  <si>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</si>
  <si>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</si>
  <si>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</si>
  <si>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</si>
  <si>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</si>
  <si>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</si>
  <si>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</si>
  <si>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</si>
  <si>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</si>
  <si>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</si>
  <si>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</si>
  <si>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</si>
  <si>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</si>
  <si>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</si>
  <si>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</si>
  <si>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</si>
  <si>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</si>
  <si>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</si>
  <si>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</si>
  <si>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</si>
  <si>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</si>
  <si>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</si>
  <si>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</si>
  <si>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</si>
  <si>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</si>
  <si>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</si>
  <si>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</si>
  <si>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</si>
  <si>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</si>
  <si>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</si>
  <si>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</si>
  <si>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</si>
  <si>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</si>
  <si>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</si>
  <si>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</si>
  <si>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</si>
  <si>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</si>
  <si>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</si>
  <si>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</si>
  <si>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</si>
  <si>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</si>
  <si>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</si>
  <si>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</si>
  <si>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</si>
  <si>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</si>
  <si>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</si>
  <si>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</si>
  <si>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</si>
  <si>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</si>
  <si>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</si>
  <si>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</si>
  <si>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</si>
  <si>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</si>
  <si>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</si>
  <si>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</si>
  <si>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</si>
  <si>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</si>
  <si>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</si>
  <si>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</si>
  <si>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</si>
  <si>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</si>
  <si>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</si>
  <si>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</si>
  <si>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</si>
  <si>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</si>
  <si>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</si>
  <si>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</si>
  <si>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</si>
  <si>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</si>
  <si>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</si>
  <si>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</si>
  <si>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</si>
  <si>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</si>
  <si>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</si>
  <si>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</si>
  <si>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</si>
  <si>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</si>
  <si>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</si>
  <si>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</si>
  <si>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</si>
  <si>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</si>
  <si>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</si>
  <si>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</si>
  <si>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</si>
  <si>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</si>
  <si>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</si>
  <si>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</si>
  <si>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</si>
  <si>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</si>
  <si>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</si>
  <si>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</si>
  <si>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</si>
  <si>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</si>
  <si>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</si>
  <si>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</si>
  <si>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</si>
  <si>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</si>
  <si>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</si>
  <si>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</si>
  <si>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</si>
  <si>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</si>
  <si>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</si>
  <si>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</si>
  <si>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</si>
  <si>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</si>
  <si>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</si>
  <si>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</si>
  <si>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</si>
  <si>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</si>
  <si>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</si>
  <si>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</si>
  <si>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</si>
  <si>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</si>
  <si>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</si>
  <si>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</si>
  <si>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</si>
  <si>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</si>
  <si>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</si>
  <si>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</si>
  <si>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</si>
  <si>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</si>
  <si>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</si>
  <si>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</si>
  <si>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</si>
  <si>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</si>
  <si>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</si>
  <si>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</si>
  <si>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</si>
  <si>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</si>
  <si>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</si>
  <si>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</si>
  <si>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</si>
  <si>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</si>
  <si>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</si>
  <si>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</si>
  <si>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</si>
  <si>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</si>
  <si>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</si>
  <si>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</si>
  <si>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</si>
  <si>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</si>
  <si>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</si>
  <si>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</si>
  <si>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</si>
  <si>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</si>
  <si>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</si>
  <si>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</si>
  <si>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</si>
  <si>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</si>
  <si>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</si>
  <si>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</si>
  <si>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</si>
  <si>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</si>
  <si>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</si>
  <si>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</si>
  <si>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</si>
  <si>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</si>
  <si>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</si>
  <si>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</si>
  <si>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</si>
  <si>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</si>
  <si>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</si>
  <si>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</si>
  <si>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</si>
  <si>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</si>
  <si>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</si>
  <si>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</si>
  <si>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</si>
  <si>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</si>
  <si>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</si>
  <si>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</si>
  <si>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</si>
  <si>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</si>
  <si>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</si>
  <si>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</si>
  <si>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</si>
  <si>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</si>
  <si>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</si>
  <si>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</si>
  <si>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</si>
  <si>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</si>
  <si>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</si>
  <si>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</si>
  <si>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</si>
  <si>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</si>
  <si>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</si>
  <si>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</si>
  <si>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</si>
  <si>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</si>
  <si>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</si>
  <si>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</si>
  <si>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</si>
  <si>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</si>
  <si>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</si>
  <si>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</si>
  <si>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</si>
  <si>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</si>
  <si>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</si>
  <si>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</si>
  <si>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</si>
  <si>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</si>
  <si>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</si>
  <si>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</si>
  <si>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</si>
  <si>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</si>
  <si>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</si>
  <si>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</si>
  <si>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</si>
  <si>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</si>
  <si>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</si>
  <si>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</si>
  <si>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</si>
  <si>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</si>
  <si>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</si>
  <si>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</si>
  <si>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</si>
  <si>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</si>
  <si>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</si>
  <si>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</si>
  <si>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</si>
  <si>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</si>
  <si>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</si>
  <si>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</si>
  <si>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</si>
  <si>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</si>
  <si>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</si>
  <si>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</si>
  <si>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</si>
  <si>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</si>
  <si>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</si>
  <si>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</si>
  <si>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</si>
  <si>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</si>
  <si>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</si>
  <si>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</si>
  <si>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</si>
  <si>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</si>
  <si>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</si>
  <si>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</si>
  <si>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</si>
  <si>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</si>
  <si>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</si>
  <si>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</si>
  <si>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</si>
  <si>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</si>
  <si>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</si>
  <si>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</si>
  <si>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</si>
  <si>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</si>
  <si>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</si>
  <si>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</si>
  <si>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</si>
  <si>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</si>
  <si>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</si>
  <si>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</si>
  <si>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</si>
  <si>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</si>
  <si>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</si>
  <si>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</si>
  <si>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</si>
  <si>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</si>
  <si>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</si>
  <si>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</si>
  <si>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</si>
  <si>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</si>
  <si>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</si>
  <si>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</si>
  <si>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</si>
  <si>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</si>
  <si>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</si>
  <si>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</si>
  <si>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</si>
  <si>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</si>
  <si>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</si>
  <si>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</si>
  <si>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</si>
  <si>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</si>
  <si>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</si>
  <si>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</si>
  <si>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</si>
  <si>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</si>
  <si>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</si>
  <si>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</si>
  <si>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</si>
  <si>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</si>
  <si>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</si>
  <si>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</si>
  <si>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</si>
  <si>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</si>
  <si>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</si>
  <si>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</si>
  <si>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</si>
  <si>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</si>
  <si>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</si>
  <si>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</si>
  <si>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</si>
  <si>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</si>
  <si>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</si>
  <si>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</si>
  <si>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</si>
  <si>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</si>
  <si>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</si>
  <si>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</si>
  <si>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</si>
  <si>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</si>
  <si>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</si>
  <si>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</si>
  <si>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</si>
  <si>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</si>
  <si>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</si>
  <si>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</si>
  <si>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</si>
  <si>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</si>
  <si>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</si>
  <si>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</si>
  <si>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</si>
  <si>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</si>
  <si>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</si>
  <si>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</si>
  <si>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</si>
  <si>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</si>
  <si>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</si>
  <si>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</si>
  <si>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</si>
  <si>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</si>
  <si>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</si>
  <si>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</si>
  <si>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</si>
  <si>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</si>
  <si>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</si>
  <si>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</si>
  <si>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</si>
  <si>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</si>
  <si>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</si>
  <si>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</si>
  <si>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</si>
  <si>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</si>
  <si>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</si>
  <si>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</si>
  <si>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</si>
  <si>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</si>
  <si>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</si>
  <si>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</si>
  <si>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</si>
  <si>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</si>
  <si>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</si>
  <si>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</si>
  <si>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</si>
  <si>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</si>
  <si>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</si>
  <si>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</si>
  <si>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</si>
  <si>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</si>
  <si>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</si>
  <si>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</si>
  <si>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</si>
  <si>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</si>
  <si>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</si>
  <si>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</si>
  <si>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</si>
  <si>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</si>
  <si>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</si>
  <si>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</si>
  <si>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</si>
  <si>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</si>
  <si>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</si>
  <si>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</si>
  <si>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</si>
  <si>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</si>
  <si>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</si>
  <si>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</si>
  <si>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</si>
  <si>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</si>
  <si>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</si>
  <si>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</si>
  <si>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</si>
  <si>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</si>
  <si>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</si>
  <si>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</si>
  <si>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</si>
  <si>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</si>
  <si>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</si>
  <si>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</si>
  <si>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</si>
  <si>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</si>
  <si>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</si>
  <si>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</si>
  <si>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</si>
  <si>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</si>
  <si>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</si>
  <si>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</si>
  <si>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</si>
  <si>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</si>
  <si>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</si>
  <si>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</si>
  <si>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</si>
  <si>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</si>
  <si>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</si>
  <si>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</si>
  <si>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</si>
  <si>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</si>
  <si>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</si>
  <si>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</si>
  <si>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</si>
  <si>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</si>
  <si>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</si>
  <si>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</si>
  <si>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</si>
  <si>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</si>
  <si>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</si>
  <si>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</si>
  <si>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</si>
  <si>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</si>
  <si>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</si>
  <si>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</si>
  <si>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</si>
  <si>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</si>
  <si>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</si>
  <si>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</si>
  <si>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</si>
  <si>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</si>
  <si>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</si>
  <si>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</si>
  <si>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</si>
  <si>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</si>
  <si>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</si>
  <si>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</si>
  <si>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</si>
  <si>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</si>
  <si>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</si>
  <si>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</si>
  <si>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</si>
  <si>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</si>
  <si>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</si>
  <si>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</si>
  <si>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</si>
  <si>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</si>
  <si>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</si>
  <si>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</si>
  <si>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</si>
  <si>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</si>
  <si>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</si>
  <si>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</si>
  <si>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</si>
  <si>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</si>
  <si>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</si>
  <si>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</si>
  <si>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</si>
  <si>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</si>
  <si>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</si>
  <si>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</si>
  <si>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</si>
  <si>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</si>
  <si>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</si>
  <si>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</si>
  <si>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</si>
  <si>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</si>
  <si>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</si>
  <si>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</si>
  <si>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</si>
  <si>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</si>
  <si>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</si>
  <si>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</si>
  <si>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</si>
  <si>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</si>
  <si>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</si>
  <si>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</si>
  <si>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</si>
  <si>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</si>
  <si>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</si>
  <si>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</si>
  <si>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</si>
  <si>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</si>
  <si>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</si>
  <si>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</si>
  <si>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</si>
  <si>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</si>
  <si>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</si>
  <si>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</si>
  <si>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</si>
  <si>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</si>
  <si>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</si>
  <si>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</si>
  <si>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</si>
  <si>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</si>
  <si>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</si>
  <si>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</si>
  <si>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</si>
  <si>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</si>
  <si>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</si>
  <si>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</si>
  <si>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</si>
  <si>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</si>
  <si>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</si>
  <si>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</si>
  <si>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</si>
  <si>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</si>
  <si>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</si>
  <si>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</si>
  <si>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</si>
  <si>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</si>
  <si>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</si>
  <si>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</si>
  <si>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</si>
  <si>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</si>
  <si>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</si>
  <si>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</si>
  <si>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</si>
  <si>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</si>
  <si>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</si>
  <si>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</si>
  <si>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</si>
  <si>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</si>
  <si>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</si>
  <si>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</si>
  <si>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</si>
  <si>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</si>
  <si>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</si>
  <si>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</si>
  <si>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</si>
  <si>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</si>
  <si>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</si>
  <si>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</si>
  <si>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</si>
  <si>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</si>
  <si>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</si>
  <si>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</si>
  <si>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</si>
  <si>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</si>
  <si>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</si>
  <si>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</si>
  <si>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</si>
  <si>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</si>
  <si>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</si>
  <si>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</si>
  <si>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</si>
  <si>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</si>
  <si>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</si>
  <si>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</si>
  <si>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</si>
  <si>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</si>
  <si>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</si>
  <si>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</si>
  <si>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</si>
  <si>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</si>
  <si>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</si>
  <si>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</si>
  <si>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</si>
  <si>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</si>
  <si>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</si>
  <si>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</si>
  <si>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</si>
  <si>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</si>
  <si>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</si>
  <si>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</si>
  <si>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</si>
  <si>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</si>
  <si>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</si>
  <si>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</si>
  <si>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</si>
  <si>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</si>
  <si>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</si>
  <si>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</si>
  <si>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</si>
  <si>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</si>
  <si>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</si>
  <si>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</si>
  <si>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</si>
  <si>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</si>
  <si>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</si>
  <si>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</si>
  <si>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</si>
  <si>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</si>
  <si>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</si>
  <si>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</si>
  <si>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</si>
  <si>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</si>
  <si>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</si>
  <si>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</si>
  <si>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</si>
  <si>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</si>
  <si>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</si>
  <si>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</si>
  <si>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</si>
  <si>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</si>
  <si>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</si>
  <si>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</si>
  <si>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</si>
  <si>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</si>
  <si>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</si>
  <si>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</si>
  <si>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</si>
  <si>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</si>
  <si>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</si>
  <si>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</si>
  <si>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</si>
  <si>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</si>
  <si>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</si>
  <si>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</si>
  <si>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</si>
  <si>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</si>
  <si>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</si>
  <si>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</si>
  <si>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</si>
  <si>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</si>
  <si>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</si>
  <si>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</si>
  <si>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</si>
  <si>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</si>
  <si>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</si>
  <si>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</si>
  <si>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</si>
  <si>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</si>
  <si>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</si>
  <si>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</si>
  <si>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</si>
  <si>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</si>
  <si>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</si>
  <si>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</si>
  <si>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</si>
  <si>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</si>
  <si>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</si>
  <si>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</si>
  <si>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</si>
  <si>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</si>
  <si>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</si>
  <si>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</si>
  <si>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</si>
  <si>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</si>
  <si>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</si>
  <si>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</si>
  <si>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</si>
  <si>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</si>
  <si>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</si>
  <si>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</si>
  <si>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</si>
  <si>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</si>
  <si>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</si>
  <si>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</si>
  <si>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</si>
  <si>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</si>
  <si>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</si>
  <si>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</si>
  <si>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</si>
  <si>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</si>
  <si>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</si>
  <si>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</si>
  <si>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</si>
  <si>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</si>
  <si>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</si>
  <si>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</si>
  <si>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</si>
  <si>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</si>
  <si>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</si>
  <si>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</si>
  <si>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</si>
  <si>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</si>
  <si>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</si>
  <si>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</si>
  <si>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</si>
  <si>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</si>
  <si>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</si>
  <si>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</si>
  <si>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</si>
  <si>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</si>
  <si>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</si>
  <si>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</si>
  <si>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</si>
  <si>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</si>
  <si>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</si>
  <si>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</si>
  <si>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</si>
  <si>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</si>
  <si>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</si>
  <si>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</si>
  <si>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</si>
  <si>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</si>
  <si>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</si>
  <si>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</si>
  <si>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</si>
  <si>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</si>
  <si>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</si>
  <si>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</si>
  <si>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</si>
  <si>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</si>
  <si>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</si>
  <si>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</si>
  <si>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</si>
  <si>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</si>
  <si>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</si>
  <si>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</si>
  <si>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</si>
  <si>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</si>
  <si>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</si>
  <si>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</si>
  <si>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</si>
  <si>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</si>
  <si>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</si>
  <si>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</si>
  <si>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</si>
  <si>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</si>
  <si>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</si>
  <si>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</si>
  <si>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</si>
  <si>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</si>
  <si>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</si>
  <si>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</si>
  <si>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</si>
  <si>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</si>
  <si>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</si>
  <si>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</si>
  <si>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</si>
  <si>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</si>
  <si>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</si>
  <si>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</si>
  <si>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</si>
  <si>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</si>
  <si>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</si>
  <si>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</si>
  <si>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</si>
  <si>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</si>
  <si>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</si>
  <si>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</si>
  <si>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</si>
  <si>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</si>
  <si>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</si>
  <si>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</si>
  <si>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</si>
  <si>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</si>
  <si>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</si>
  <si>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</si>
  <si>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</si>
  <si>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</si>
  <si>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</si>
  <si>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</si>
  <si>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</si>
  <si>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</si>
  <si>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</si>
  <si>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</si>
  <si>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</si>
  <si>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</si>
  <si>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</si>
  <si>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</si>
  <si>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</si>
  <si>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</si>
  <si>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</si>
  <si>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</si>
  <si>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</si>
  <si>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</si>
  <si>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</si>
  <si>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</si>
  <si>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</si>
  <si>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</si>
  <si>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</si>
  <si>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</si>
  <si>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</si>
  <si>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</si>
  <si>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</si>
  <si>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</si>
  <si>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</si>
  <si>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</si>
  <si>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</si>
  <si>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</si>
  <si>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</si>
  <si>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</si>
  <si>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</si>
  <si>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</si>
  <si>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</si>
  <si>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</si>
  <si>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</si>
  <si>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</si>
  <si>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</si>
  <si>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</si>
  <si>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</si>
  <si>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</si>
  <si>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</si>
  <si>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</si>
  <si>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</si>
  <si>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</si>
  <si>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</si>
  <si>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</si>
  <si>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</si>
  <si>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</si>
  <si>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</si>
  <si>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</si>
  <si>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</si>
  <si>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</si>
  <si>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</si>
  <si>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</si>
  <si>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</si>
  <si>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</si>
  <si>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</si>
  <si>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</si>
  <si>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</si>
  <si>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</si>
  <si>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</si>
  <si>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</si>
  <si>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</si>
  <si>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</si>
  <si>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</si>
  <si>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</si>
  <si>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</si>
  <si>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</si>
  <si>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</si>
  <si>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</si>
  <si>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</si>
  <si>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</si>
  <si>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</si>
  <si>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</si>
  <si>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</si>
  <si>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</si>
  <si>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</si>
  <si>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</si>
  <si>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</si>
  <si>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</si>
  <si>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</si>
  <si>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</si>
  <si>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</si>
  <si>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</si>
  <si>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</si>
  <si>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</si>
  <si>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</si>
  <si>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</si>
  <si>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</si>
  <si>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</si>
  <si>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</si>
  <si>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</si>
  <si>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</si>
  <si>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</si>
  <si>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</si>
  <si>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</si>
  <si>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</si>
  <si>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</si>
  <si>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</si>
  <si>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</si>
  <si>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</si>
  <si>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</si>
  <si>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</si>
  <si>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</si>
  <si>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</si>
  <si>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</si>
  <si>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</si>
  <si>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</si>
  <si>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</si>
  <si>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</si>
  <si>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</si>
  <si>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</si>
  <si>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</si>
  <si>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</si>
  <si>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</si>
  <si>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</si>
  <si>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</si>
  <si>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</si>
  <si>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</si>
  <si>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</si>
  <si>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</si>
  <si>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</si>
  <si>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</si>
  <si>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</si>
  <si>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</si>
  <si>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</si>
  <si>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</si>
  <si>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</si>
  <si>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</si>
  <si>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</si>
  <si>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</si>
  <si>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</si>
  <si>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</si>
  <si>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</si>
  <si>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</si>
  <si>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</si>
  <si>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</si>
  <si>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</si>
  <si>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</si>
  <si>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</si>
  <si>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</si>
  <si>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</si>
  <si>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</si>
  <si>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</si>
  <si>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</si>
  <si>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</si>
  <si>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</si>
  <si>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</si>
  <si>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</si>
  <si>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</si>
  <si>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</si>
  <si>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</si>
  <si>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</si>
  <si>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</si>
  <si>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</si>
  <si>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</si>
  <si>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</si>
  <si>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</si>
  <si>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</si>
  <si>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</si>
  <si>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</si>
  <si>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</si>
  <si>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</si>
  <si>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</si>
  <si>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</si>
  <si>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</si>
  <si>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</si>
  <si>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</si>
  <si>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</si>
  <si>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</si>
  <si>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</si>
  <si>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</si>
  <si>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</si>
  <si>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</si>
  <si>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</si>
  <si>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</si>
  <si>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</si>
  <si>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</si>
  <si>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</si>
  <si>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</si>
  <si>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</si>
  <si>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</si>
  <si>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</si>
  <si>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</si>
  <si>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</si>
  <si>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</si>
  <si>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</si>
  <si>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</si>
  <si>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</si>
  <si>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</si>
  <si>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</si>
  <si>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</si>
  <si>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</si>
  <si>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</si>
  <si>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</si>
  <si>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</si>
  <si>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</si>
  <si>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</si>
  <si>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</si>
  <si>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</si>
  <si>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</si>
  <si>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</si>
  <si>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</si>
  <si>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</si>
  <si>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</si>
  <si>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</si>
  <si>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</si>
  <si>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</si>
  <si>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</si>
  <si>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</si>
  <si>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</si>
  <si>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</si>
  <si>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</si>
  <si>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</si>
  <si>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</si>
  <si>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</si>
  <si>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</si>
  <si>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</si>
  <si>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</si>
  <si>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</si>
  <si>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</si>
  <si>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</si>
  <si>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</si>
  <si>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</si>
  <si>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</si>
  <si>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</si>
  <si>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</si>
  <si>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</si>
  <si>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</si>
  <si>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</si>
  <si>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</si>
  <si>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</si>
  <si>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</si>
  <si>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</si>
  <si>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</si>
  <si>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</si>
  <si>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</si>
  <si>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</si>
  <si>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</si>
  <si>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</si>
  <si>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</si>
  <si>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</si>
  <si>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</si>
  <si>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</si>
  <si>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</si>
  <si>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</si>
  <si>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Z1_OLBV_T3PT_Ms3</t>
  </si>
  <si>
    <t>suppression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</si>
</sst>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0" fillId="2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4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20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12.1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/>
    </row>
    <row r="55" spans="10:16" x14ac:dyDescent="0.25">
      <c r="J55" s="14" t="s">
        <v>570</v>
      </c>
      <c r="K55" s="80"/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12</v>
      </c>
    </row>
    <row r="63" spans="10:16" x14ac:dyDescent="0.25">
      <c r="J63"/>
      <c r="K63" s="80">
        <v>1</v>
      </c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48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48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295">
        <v>1</v>
      </c>
      <c r="V76" s="295" t="s">
        <v>598</v>
      </c>
    </row>
    <row r="77" spans="10:22" x14ac:dyDescent="0.25">
      <c r="J77" s="14" t="s">
        <v>599</v>
      </c>
      <c r="K77" s="80"/>
      <c r="R77">
        <v>2</v>
      </c>
      <c r="U77" s="295">
        <v>2</v>
      </c>
      <c r="V77" s="295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1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3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2.5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2.5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2.5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0</v>
      </c>
      <c r="T165" s="173">
        <f>VLOOKUP(R165,[1]MEP!$A$4:$M$300,13)</f>
        <v>2</v>
      </c>
      <c r="U165" s="173">
        <f t="shared" ref="U165:U207" si="10">IF($T165&gt;0,$S165,0)</f>
        <v>0</v>
      </c>
      <c r="V165" s="173">
        <f t="shared" ref="V165:V207" si="11">IF($T165&gt;1,$S165,0)</f>
        <v>0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0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0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0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264</v>
      </c>
      <c r="S168" s="173">
        <f>Alim_Surf!R11</f>
        <v>0.6</v>
      </c>
      <c r="T168" s="173">
        <f>VLOOKUP(R168,[1]MEP!$A$4:$M$300,13)</f>
        <v>1</v>
      </c>
      <c r="U168" s="173">
        <f t="shared" si="10"/>
        <v>0.6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0.6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0.6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296</v>
      </c>
      <c r="S169" s="173">
        <f>Alim_Surf!R12</f>
        <v>3.5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3.5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3.5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253</v>
      </c>
      <c r="S170" s="173">
        <f>Alim_Surf!R13</f>
        <v>7.1</v>
      </c>
      <c r="T170" s="173">
        <f>VLOOKUP(R170,[1]MEP!$A$4:$M$300,13)</f>
        <v>2</v>
      </c>
      <c r="U170" s="173">
        <f t="shared" si="10"/>
        <v>7.1</v>
      </c>
      <c r="V170" s="173">
        <f t="shared" si="11"/>
        <v>7.1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7.1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7.1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2.2999999999999998</v>
      </c>
      <c r="T187" s="173">
        <f>VLOOKUP(R187,[1]MEP!$A$4:$M$300,13)</f>
        <v>1</v>
      </c>
      <c r="U187" s="173">
        <f t="shared" si="10"/>
        <v>2.2999999999999998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2.2999999999999998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2.2999999999999998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20</v>
      </c>
      <c r="V228" s="62">
        <f t="shared" ref="V228:W228" si="22">SUM(V164:V227)</f>
        <v>12.1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8</v>
      </c>
      <c r="AI228" s="62">
        <f t="shared" si="24"/>
        <v>7.8999999999999995</v>
      </c>
      <c r="AJ228" s="62">
        <f t="shared" si="24"/>
        <v>7.1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U30" zoomScale="90" zoomScaleNormal="90" workbookViewId="0">
      <selection activeCell="AF33" sqref="AF3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1</v>
      </c>
      <c r="D3" s="177">
        <f t="shared" si="0"/>
        <v>1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2</v>
      </c>
      <c r="L3" s="177">
        <f t="shared" si="0"/>
        <v>2</v>
      </c>
      <c r="M3" s="177">
        <f t="shared" si="0"/>
        <v>2</v>
      </c>
      <c r="N3" s="177">
        <f t="shared" si="0"/>
        <v>2</v>
      </c>
      <c r="O3" s="177">
        <f t="shared" si="0"/>
        <v>2</v>
      </c>
      <c r="P3" s="177">
        <f t="shared" si="0"/>
        <v>2</v>
      </c>
      <c r="Q3" s="177">
        <f t="shared" si="0"/>
        <v>2</v>
      </c>
      <c r="R3" s="177">
        <f t="shared" si="0"/>
        <v>2</v>
      </c>
      <c r="S3" s="177">
        <f t="shared" si="0"/>
        <v>2</v>
      </c>
      <c r="T3" s="177">
        <f t="shared" si="0"/>
        <v>2</v>
      </c>
      <c r="U3" s="177">
        <f t="shared" si="0"/>
        <v>2</v>
      </c>
      <c r="V3" s="177">
        <f t="shared" si="0"/>
        <v>2</v>
      </c>
      <c r="W3" s="177">
        <f t="shared" si="0"/>
        <v>1</v>
      </c>
      <c r="X3" s="177">
        <f t="shared" si="0"/>
        <v>1</v>
      </c>
      <c r="Y3" s="177">
        <f t="shared" si="0"/>
        <v>1</v>
      </c>
      <c r="Z3" s="177">
        <f t="shared" si="0"/>
        <v>1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4317</v>
      </c>
      <c r="AQ4">
        <f>SUM(BJ31:BL31)</f>
        <v>18.7</v>
      </c>
      <c r="AV4" s="30">
        <f>Parcellaire!A2</f>
        <v>1</v>
      </c>
      <c r="AW4" s="30">
        <f>Parcellaire!B2</f>
        <v>2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0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4</v>
      </c>
      <c r="AO5" s="14" t="s">
        <v>685</v>
      </c>
      <c r="AP5" s="30">
        <f>BI31</f>
        <v>0</v>
      </c>
      <c r="AV5" s="30">
        <f>Parcellaire!A3</f>
        <v>2</v>
      </c>
      <c r="AW5" s="30">
        <f>Parcellaire!B3</f>
        <v>2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0</v>
      </c>
      <c r="BJ5" s="173">
        <f t="shared" si="6"/>
        <v>0</v>
      </c>
      <c r="BK5" s="173">
        <f t="shared" si="7"/>
        <v>0</v>
      </c>
      <c r="BL5" s="173">
        <f t="shared" si="8"/>
        <v>0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0</v>
      </c>
      <c r="O7" s="177">
        <f t="shared" si="13"/>
        <v>0</v>
      </c>
      <c r="P7" s="177">
        <f t="shared" si="13"/>
        <v>0</v>
      </c>
      <c r="Q7" s="177">
        <f t="shared" si="13"/>
        <v>0</v>
      </c>
      <c r="R7" s="177">
        <f t="shared" si="13"/>
        <v>0</v>
      </c>
      <c r="S7" s="177">
        <f t="shared" si="13"/>
        <v>0</v>
      </c>
      <c r="T7" s="177">
        <f t="shared" si="13"/>
        <v>0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3792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4</v>
      </c>
      <c r="N8" s="177">
        <f>(N3+N4)*[1]Protect!$B$12</f>
        <v>4</v>
      </c>
      <c r="O8" s="177">
        <f>(O3+O4)*[1]Protect!$B$12</f>
        <v>4</v>
      </c>
      <c r="P8" s="177">
        <f>(P3+P4)*[1]Protect!$B$12</f>
        <v>4</v>
      </c>
      <c r="Q8" s="177">
        <f>(Q3+Q4)*[1]Protect!$B$12</f>
        <v>4</v>
      </c>
      <c r="R8" s="177">
        <f>(R3+R4)*[1]Protect!$B$12</f>
        <v>4</v>
      </c>
      <c r="S8" s="177">
        <f>(S3+S4)*[1]Protect!$B$12</f>
        <v>4</v>
      </c>
      <c r="T8" s="177">
        <f>(T3+T4)*[1]Protect!$B$12</f>
        <v>4</v>
      </c>
      <c r="U8" s="177">
        <f>(U3+U4)*[1]Protect!$B$12</f>
        <v>4</v>
      </c>
      <c r="V8" s="177">
        <f>(V3+V4)*[1]Protect!$B$12</f>
        <v>4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4</v>
      </c>
      <c r="AO8" s="14"/>
      <c r="AV8" s="30">
        <f>Parcellaire!A6</f>
        <v>5</v>
      </c>
      <c r="AW8" s="30">
        <f>Parcellaire!B6</f>
        <v>2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3">
        <f t="shared" si="11"/>
        <v>0</v>
      </c>
      <c r="BH8" s="173">
        <f t="shared" si="4"/>
        <v>0</v>
      </c>
      <c r="BI8" s="173">
        <f t="shared" si="5"/>
        <v>0</v>
      </c>
      <c r="BJ8" s="173">
        <f t="shared" si="6"/>
        <v>0</v>
      </c>
      <c r="BK8" s="173">
        <f t="shared" si="7"/>
        <v>0</v>
      </c>
      <c r="BL8" s="173">
        <f t="shared" si="8"/>
        <v>0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2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0</v>
      </c>
      <c r="BC9" s="30">
        <f>ROUND(Parcellaire!U7,0)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10"/>
        <v>AU</v>
      </c>
      <c r="BG9" s="173">
        <f t="shared" si="11"/>
        <v>0</v>
      </c>
      <c r="BH9" s="173">
        <f t="shared" si="4"/>
        <v>0</v>
      </c>
      <c r="BI9" s="173">
        <f t="shared" si="5"/>
        <v>0</v>
      </c>
      <c r="BJ9" s="173">
        <f t="shared" si="6"/>
        <v>0</v>
      </c>
      <c r="BK9" s="173">
        <f t="shared" si="7"/>
        <v>0</v>
      </c>
      <c r="BL9" s="173">
        <f t="shared" si="8"/>
        <v>0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4</v>
      </c>
      <c r="H11" s="177">
        <f t="shared" si="14"/>
        <v>4</v>
      </c>
      <c r="I11" s="177">
        <f t="shared" si="14"/>
        <v>4</v>
      </c>
      <c r="J11" s="177">
        <f t="shared" si="14"/>
        <v>4</v>
      </c>
      <c r="K11" s="177">
        <f t="shared" si="14"/>
        <v>4</v>
      </c>
      <c r="L11" s="177">
        <f t="shared" si="14"/>
        <v>4</v>
      </c>
      <c r="M11" s="177">
        <f t="shared" si="14"/>
        <v>4</v>
      </c>
      <c r="N11" s="177">
        <f t="shared" si="14"/>
        <v>4</v>
      </c>
      <c r="O11" s="177">
        <f t="shared" si="14"/>
        <v>4</v>
      </c>
      <c r="P11" s="177">
        <f t="shared" si="14"/>
        <v>4</v>
      </c>
      <c r="Q11" s="177">
        <f t="shared" si="14"/>
        <v>4</v>
      </c>
      <c r="R11" s="177">
        <f t="shared" si="14"/>
        <v>4</v>
      </c>
      <c r="S11" s="177">
        <f t="shared" si="14"/>
        <v>4</v>
      </c>
      <c r="T11" s="177">
        <f t="shared" si="14"/>
        <v>4</v>
      </c>
      <c r="U11" s="177">
        <f t="shared" si="14"/>
        <v>4</v>
      </c>
      <c r="V11" s="177">
        <f t="shared" si="14"/>
        <v>4</v>
      </c>
      <c r="W11" s="177">
        <f t="shared" si="14"/>
        <v>2</v>
      </c>
      <c r="X11" s="177">
        <f t="shared" si="14"/>
        <v>2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4</v>
      </c>
      <c r="H13" s="177">
        <f t="shared" si="15"/>
        <v>4</v>
      </c>
      <c r="I13" s="177">
        <f t="shared" si="15"/>
        <v>4</v>
      </c>
      <c r="J13" s="177">
        <f t="shared" si="15"/>
        <v>4</v>
      </c>
      <c r="K13" s="177">
        <f t="shared" si="15"/>
        <v>4</v>
      </c>
      <c r="L13" s="177">
        <f t="shared" si="15"/>
        <v>4</v>
      </c>
      <c r="M13" s="177">
        <f t="shared" si="15"/>
        <v>4</v>
      </c>
      <c r="N13" s="177">
        <f t="shared" si="15"/>
        <v>4</v>
      </c>
      <c r="O13" s="177">
        <f t="shared" si="15"/>
        <v>4</v>
      </c>
      <c r="P13" s="177">
        <f t="shared" si="15"/>
        <v>4</v>
      </c>
      <c r="Q13" s="177">
        <f t="shared" si="15"/>
        <v>4</v>
      </c>
      <c r="R13" s="177">
        <f t="shared" si="15"/>
        <v>4</v>
      </c>
      <c r="S13" s="177">
        <f t="shared" si="15"/>
        <v>4</v>
      </c>
      <c r="T13" s="177">
        <f t="shared" si="15"/>
        <v>4</v>
      </c>
      <c r="U13" s="177">
        <f t="shared" si="15"/>
        <v>4</v>
      </c>
      <c r="V13" s="177">
        <f t="shared" si="15"/>
        <v>4</v>
      </c>
      <c r="W13" s="177">
        <f t="shared" si="15"/>
        <v>2</v>
      </c>
      <c r="X13" s="177">
        <f t="shared" si="15"/>
        <v>2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1</v>
      </c>
      <c r="O15" s="173">
        <f t="shared" si="16"/>
        <v>1</v>
      </c>
      <c r="P15" s="173">
        <f t="shared" si="16"/>
        <v>1</v>
      </c>
      <c r="Q15" s="173">
        <f t="shared" si="16"/>
        <v>1</v>
      </c>
      <c r="R15" s="173">
        <f t="shared" si="16"/>
        <v>1</v>
      </c>
      <c r="S15" s="173">
        <f t="shared" si="16"/>
        <v>1</v>
      </c>
      <c r="T15" s="173">
        <f t="shared" si="16"/>
        <v>1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2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2</v>
      </c>
      <c r="O18" s="62">
        <f t="shared" si="19"/>
        <v>2</v>
      </c>
      <c r="P18" s="62">
        <f t="shared" si="19"/>
        <v>2</v>
      </c>
      <c r="Q18" s="62">
        <f t="shared" si="19"/>
        <v>2</v>
      </c>
      <c r="R18" s="62">
        <f t="shared" si="19"/>
        <v>2</v>
      </c>
      <c r="S18" s="62">
        <f t="shared" si="19"/>
        <v>2</v>
      </c>
      <c r="T18" s="62">
        <f t="shared" si="19"/>
        <v>2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0</v>
      </c>
      <c r="O20" s="173">
        <f t="shared" si="21"/>
        <v>0</v>
      </c>
      <c r="P20" s="173">
        <f t="shared" si="21"/>
        <v>0</v>
      </c>
      <c r="Q20" s="173">
        <f t="shared" si="21"/>
        <v>0</v>
      </c>
      <c r="R20" s="173">
        <f t="shared" si="21"/>
        <v>0</v>
      </c>
      <c r="S20" s="173">
        <f t="shared" si="21"/>
        <v>0</v>
      </c>
      <c r="T20" s="173">
        <f t="shared" si="21"/>
        <v>0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4317</v>
      </c>
      <c r="AE20" s="64">
        <v>0</v>
      </c>
      <c r="AF20" s="64">
        <f>SUM(AD20:AE20)</f>
        <v>4317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4317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4317</v>
      </c>
      <c r="AE22" s="64">
        <f>IF(AND(LEFT(Scénario!K12,2)="OL",Troupeau!C3&lt;&gt;"",Scénario!K91=1),Protection!AP5+Protection!AP3,0)</f>
        <v>0</v>
      </c>
      <c r="AF22" s="64">
        <f>SUM(AD22:AE22)</f>
        <v>4317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2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0</v>
      </c>
      <c r="BC24" s="30">
        <f>ROUND(Parcellaire!U22,0)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10"/>
        <v>AU</v>
      </c>
      <c r="BG24" s="173">
        <f t="shared" si="11"/>
        <v>0</v>
      </c>
      <c r="BH24" s="173">
        <f t="shared" si="4"/>
        <v>0</v>
      </c>
      <c r="BI24" s="173">
        <f t="shared" si="5"/>
        <v>0</v>
      </c>
      <c r="BJ24" s="173">
        <f t="shared" si="6"/>
        <v>0</v>
      </c>
      <c r="BK24" s="173">
        <f t="shared" si="7"/>
        <v>0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2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1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2</v>
      </c>
      <c r="V25" s="177">
        <f t="shared" si="23"/>
        <v>1</v>
      </c>
      <c r="W25" s="177">
        <f t="shared" si="23"/>
        <v>2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4317</v>
      </c>
      <c r="AV25" s="30">
        <f>Parcellaire!A23</f>
        <v>22</v>
      </c>
      <c r="AW25" s="30">
        <f>Parcellaire!B23</f>
        <v>2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0</v>
      </c>
      <c r="BC25" s="30">
        <f>ROUND(Parcellaire!U23,0)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10"/>
        <v>AU</v>
      </c>
      <c r="BG25" s="173">
        <f t="shared" si="11"/>
        <v>0</v>
      </c>
      <c r="BH25" s="173">
        <f t="shared" si="4"/>
        <v>0</v>
      </c>
      <c r="BI25" s="173">
        <f t="shared" si="5"/>
        <v>0</v>
      </c>
      <c r="BJ25" s="173">
        <f t="shared" si="6"/>
        <v>0</v>
      </c>
      <c r="BK25" s="173">
        <f t="shared" si="7"/>
        <v>0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1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1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1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1</v>
      </c>
      <c r="V26" s="177">
        <f t="shared" si="24"/>
        <v>2</v>
      </c>
      <c r="W26" s="177">
        <f t="shared" si="24"/>
        <v>1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18.7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1</v>
      </c>
      <c r="N28" s="177">
        <f t="shared" si="26"/>
        <v>1</v>
      </c>
      <c r="O28" s="177">
        <f t="shared" si="26"/>
        <v>1</v>
      </c>
      <c r="P28" s="177">
        <f t="shared" si="26"/>
        <v>1</v>
      </c>
      <c r="Q28" s="177">
        <f t="shared" si="26"/>
        <v>1</v>
      </c>
      <c r="R28" s="177">
        <f t="shared" si="26"/>
        <v>1</v>
      </c>
      <c r="S28" s="177">
        <f t="shared" si="26"/>
        <v>1</v>
      </c>
      <c r="T28" s="177">
        <f t="shared" si="26"/>
        <v>1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0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4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2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4</v>
      </c>
      <c r="V29" s="177">
        <f>V25*[1]Protect!$B$12</f>
        <v>2</v>
      </c>
      <c r="W29" s="177">
        <f>W25*[1]Protect!$B$12</f>
        <v>4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3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3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3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3</v>
      </c>
      <c r="V30" s="177">
        <f>V26*[1]Protect!$B$13</f>
        <v>6</v>
      </c>
      <c r="W30" s="177">
        <f>W26*[1]Protect!$B$13</f>
        <v>3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4317</v>
      </c>
      <c r="BI31" s="62">
        <f t="shared" si="27"/>
        <v>0</v>
      </c>
      <c r="BJ31" s="62">
        <f t="shared" si="27"/>
        <v>0</v>
      </c>
      <c r="BK31" s="62">
        <f t="shared" si="27"/>
        <v>18.7</v>
      </c>
      <c r="BL31" s="62">
        <f>SUM(BL3:BL30)</f>
        <v>0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5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7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5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7</v>
      </c>
      <c r="V32" s="177">
        <f t="shared" si="28"/>
        <v>8</v>
      </c>
      <c r="W32" s="177">
        <f t="shared" si="28"/>
        <v>7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4</v>
      </c>
      <c r="N33" s="177">
        <f>N28*[1]Protect!$B$15</f>
        <v>4</v>
      </c>
      <c r="O33" s="177">
        <f>O28*[1]Protect!$B$15</f>
        <v>4</v>
      </c>
      <c r="P33" s="177">
        <f>P28*[1]Protect!$B$15</f>
        <v>4</v>
      </c>
      <c r="Q33" s="177">
        <f>Q28*[1]Protect!$B$15</f>
        <v>4</v>
      </c>
      <c r="R33" s="177">
        <f>R28*[1]Protect!$B$15</f>
        <v>4</v>
      </c>
      <c r="S33" s="177">
        <f>S28*[1]Protect!$B$15</f>
        <v>4</v>
      </c>
      <c r="T33" s="177">
        <f>T28*[1]Protect!$B$15</f>
        <v>4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/>
      <c r="AF33" s="296" t="s">
        <v>1464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10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14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14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14</v>
      </c>
      <c r="V34" s="177">
        <f t="shared" si="29"/>
        <v>16</v>
      </c>
      <c r="W34" s="177">
        <f t="shared" si="29"/>
        <v>14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2</v>
      </c>
      <c r="F36" s="173">
        <f t="shared" si="30"/>
        <v>2</v>
      </c>
      <c r="G36" s="173">
        <f t="shared" si="30"/>
        <v>2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3</v>
      </c>
      <c r="D37" s="173">
        <f t="shared" si="31"/>
        <v>3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3</v>
      </c>
      <c r="Z37" s="173">
        <f t="shared" si="31"/>
        <v>3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3</v>
      </c>
      <c r="F39" s="62">
        <f t="shared" si="33"/>
        <v>3</v>
      </c>
      <c r="G39" s="62">
        <f t="shared" si="33"/>
        <v>3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1</v>
      </c>
      <c r="T42" s="62">
        <f>IF(Protection!T41&gt;0,Scénario!$K$58,0)</f>
        <v>1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3</v>
      </c>
      <c r="F43" s="62">
        <f t="shared" si="36"/>
        <v>3</v>
      </c>
      <c r="G43" s="62">
        <f t="shared" si="36"/>
        <v>3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0</v>
      </c>
      <c r="O68" s="173">
        <f>IF($AA68=0,99,IF(O81&gt;3,CdTrp1!N76,CdTrp1!N52))</f>
        <v>0</v>
      </c>
      <c r="P68" s="173">
        <f>IF($AA68=0,99,IF(P81&gt;3,CdTrp1!O76,CdTrp1!O52))</f>
        <v>0</v>
      </c>
      <c r="Q68" s="173">
        <f>IF($AA68=0,99,IF(Q81&gt;3,CdTrp1!P76,CdTrp1!P52))</f>
        <v>0</v>
      </c>
      <c r="R68" s="173">
        <f>IF($AA68=0,99,IF(R81&gt;3,CdTrp1!Q76,CdTrp1!Q52))</f>
        <v>0</v>
      </c>
      <c r="S68" s="173">
        <f>IF($AA68=0,99,IF(S81&gt;3,CdTrp1!R76,CdTrp1!R52))</f>
        <v>0</v>
      </c>
      <c r="T68" s="173">
        <f>IF($AA68=0,99,IF(T81&gt;3,CdTrp1!S76,CdTrp1!S52))</f>
        <v>0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1</v>
      </c>
      <c r="O81" s="173">
        <f>CdTrp1!N76</f>
        <v>1</v>
      </c>
      <c r="P81" s="173">
        <f>CdTrp1!O76</f>
        <v>1</v>
      </c>
      <c r="Q81" s="173">
        <f>CdTrp1!P76</f>
        <v>1</v>
      </c>
      <c r="R81" s="173">
        <f>CdTrp1!Q76</f>
        <v>1</v>
      </c>
      <c r="S81" s="173">
        <f>CdTrp1!R76</f>
        <v>1</v>
      </c>
      <c r="T81" s="173">
        <f>CdTrp1!S76</f>
        <v>1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1</v>
      </c>
      <c r="D82" s="173">
        <f>CdTrp1!C77</f>
        <v>1</v>
      </c>
      <c r="E82" s="173">
        <f>CdTrp1!D77</f>
        <v>1</v>
      </c>
      <c r="F82" s="173">
        <f>CdTrp1!E77</f>
        <v>1</v>
      </c>
      <c r="G82" s="173">
        <f>CdTrp1!F77</f>
        <v>1</v>
      </c>
      <c r="H82" s="173">
        <f>CdTrp1!G77</f>
        <v>1</v>
      </c>
      <c r="I82" s="173">
        <f>CdTrp1!H77</f>
        <v>1</v>
      </c>
      <c r="J82" s="173">
        <f>CdTrp1!I77</f>
        <v>1</v>
      </c>
      <c r="K82" s="173">
        <f>CdTrp1!J77</f>
        <v>1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1</v>
      </c>
      <c r="W82" s="173">
        <f>CdTrp1!V77</f>
        <v>1</v>
      </c>
      <c r="X82" s="173">
        <f>CdTrp1!W77</f>
        <v>1</v>
      </c>
      <c r="Y82" s="173">
        <f>CdTrp1!X77</f>
        <v>1</v>
      </c>
      <c r="Z82" s="173">
        <f>CdTrp1!Y77</f>
        <v>1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1</v>
      </c>
      <c r="D111" s="173">
        <f>IF($AA111=0,99,IF(D124&gt;3,CdTrp2!C77,CdTrp2!C53))</f>
        <v>1</v>
      </c>
      <c r="E111" s="173">
        <f>IF($AA111=0,99,IF(E124&gt;3,CdTrp2!D77,CdTrp2!D53))</f>
        <v>0</v>
      </c>
      <c r="F111" s="173">
        <f>IF($AA111=0,99,IF(F124&gt;3,CdTrp2!E77,CdTrp2!E53))</f>
        <v>0</v>
      </c>
      <c r="G111" s="173">
        <f>IF($AA111=0,99,IF(G124&gt;3,CdTrp2!F77,CdTrp2!F53))</f>
        <v>0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1</v>
      </c>
      <c r="Z111" s="173">
        <f>IF($AA111=0,99,IF(Z124&gt;3,CdTrp2!Y77,CdTrp2!Y53))</f>
        <v>1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3</v>
      </c>
      <c r="V123" s="30">
        <f>CdTrp2!U76</f>
        <v>3</v>
      </c>
      <c r="W123" s="30">
        <f>CdTrp2!V76</f>
        <v>3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1</v>
      </c>
      <c r="F124" s="30">
        <f>CdTrp2!E77</f>
        <v>1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3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3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2</v>
      </c>
      <c r="O180" s="173">
        <f>IF(Troupeau!$B$3="OL",Protection!O18,0)</f>
        <v>2</v>
      </c>
      <c r="P180" s="173">
        <f>IF(Troupeau!$B$3="OL",Protection!P18,0)</f>
        <v>2</v>
      </c>
      <c r="Q180" s="173">
        <f>IF(Troupeau!$B$3="OL",Protection!Q18,0)</f>
        <v>2</v>
      </c>
      <c r="R180" s="173">
        <f>IF(Troupeau!$B$3="OL",Protection!R18,0)</f>
        <v>2</v>
      </c>
      <c r="S180" s="173">
        <f>IF(Troupeau!$B$3="OL",Protection!S18,0)</f>
        <v>2</v>
      </c>
      <c r="T180" s="173">
        <f>IF(Troupeau!$B$3="OL",Protection!T18,0)</f>
        <v>2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2</v>
      </c>
      <c r="O195" s="173">
        <f t="shared" si="50"/>
        <v>2</v>
      </c>
      <c r="P195" s="173">
        <f t="shared" si="50"/>
        <v>2</v>
      </c>
      <c r="Q195" s="173">
        <f t="shared" si="50"/>
        <v>2</v>
      </c>
      <c r="R195" s="173">
        <f t="shared" si="50"/>
        <v>2</v>
      </c>
      <c r="S195" s="173">
        <f t="shared" si="50"/>
        <v>2</v>
      </c>
      <c r="T195" s="173">
        <f t="shared" si="50"/>
        <v>2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0</v>
      </c>
      <c r="O196" s="173">
        <f t="shared" si="50"/>
        <v>0</v>
      </c>
      <c r="P196" s="173">
        <f t="shared" si="50"/>
        <v>0</v>
      </c>
      <c r="Q196" s="173">
        <f t="shared" si="50"/>
        <v>0</v>
      </c>
      <c r="R196" s="173">
        <f t="shared" si="50"/>
        <v>0</v>
      </c>
      <c r="S196" s="173">
        <f t="shared" si="50"/>
        <v>0</v>
      </c>
      <c r="T196" s="173">
        <f t="shared" si="50"/>
        <v>0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4</v>
      </c>
      <c r="O201" s="173">
        <f>IF(Troupeau!$B$3="OL",O8+O9,0)</f>
        <v>4</v>
      </c>
      <c r="P201" s="173">
        <f>IF(Troupeau!$B$3="OL",P8+P9,0)</f>
        <v>4</v>
      </c>
      <c r="Q201" s="173">
        <f>IF(Troupeau!$B$3="OL",Q8+Q9,0)</f>
        <v>4</v>
      </c>
      <c r="R201" s="173">
        <f>IF(Troupeau!$B$3="OL",R8+R9,0)</f>
        <v>4</v>
      </c>
      <c r="S201" s="173">
        <f>IF(Troupeau!$B$3="OL",S8+S9,0)</f>
        <v>4</v>
      </c>
      <c r="T201" s="173">
        <f>IF(Troupeau!$B$3="OL",T8+T9,0)</f>
        <v>4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2</v>
      </c>
      <c r="X201" s="173">
        <f>IF(Troupeau!$B$3="OL",X8+X9,0)</f>
        <v>2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4</v>
      </c>
      <c r="H203" s="173">
        <f t="shared" si="51"/>
        <v>4</v>
      </c>
      <c r="I203" s="173">
        <f t="shared" si="51"/>
        <v>4</v>
      </c>
      <c r="J203" s="173">
        <f t="shared" si="51"/>
        <v>4</v>
      </c>
      <c r="K203" s="173">
        <f t="shared" si="51"/>
        <v>4</v>
      </c>
      <c r="L203" s="173">
        <f t="shared" si="51"/>
        <v>4</v>
      </c>
      <c r="M203" s="173">
        <f t="shared" si="51"/>
        <v>4</v>
      </c>
      <c r="N203" s="173">
        <f t="shared" si="51"/>
        <v>4</v>
      </c>
      <c r="O203" s="173">
        <f t="shared" si="51"/>
        <v>4</v>
      </c>
      <c r="P203" s="173">
        <f t="shared" si="51"/>
        <v>4</v>
      </c>
      <c r="Q203" s="173">
        <f t="shared" si="51"/>
        <v>4</v>
      </c>
      <c r="R203" s="173">
        <f t="shared" si="51"/>
        <v>4</v>
      </c>
      <c r="S203" s="173">
        <f t="shared" si="51"/>
        <v>4</v>
      </c>
      <c r="T203" s="173">
        <f t="shared" si="51"/>
        <v>4</v>
      </c>
      <c r="U203" s="173">
        <f t="shared" si="51"/>
        <v>4</v>
      </c>
      <c r="V203" s="173">
        <f t="shared" si="51"/>
        <v>4</v>
      </c>
      <c r="W203" s="173">
        <f t="shared" si="51"/>
        <v>2</v>
      </c>
      <c r="X203" s="173">
        <f t="shared" si="51"/>
        <v>2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4</v>
      </c>
      <c r="H212" s="173">
        <f t="shared" si="52"/>
        <v>4</v>
      </c>
      <c r="I212" s="173">
        <f t="shared" si="52"/>
        <v>4</v>
      </c>
      <c r="J212" s="173">
        <f t="shared" si="52"/>
        <v>4</v>
      </c>
      <c r="K212" s="173">
        <f t="shared" si="52"/>
        <v>4</v>
      </c>
      <c r="L212" s="173">
        <f t="shared" si="52"/>
        <v>4</v>
      </c>
      <c r="M212" s="173">
        <f t="shared" si="52"/>
        <v>4</v>
      </c>
      <c r="N212" s="173">
        <f t="shared" si="52"/>
        <v>4</v>
      </c>
      <c r="O212" s="173">
        <f t="shared" si="52"/>
        <v>4</v>
      </c>
      <c r="P212" s="173">
        <f t="shared" si="52"/>
        <v>4</v>
      </c>
      <c r="Q212" s="173">
        <f t="shared" si="52"/>
        <v>4</v>
      </c>
      <c r="R212" s="173">
        <f t="shared" si="52"/>
        <v>4</v>
      </c>
      <c r="S212" s="173">
        <f t="shared" si="52"/>
        <v>4</v>
      </c>
      <c r="T212" s="173">
        <f t="shared" si="52"/>
        <v>4</v>
      </c>
      <c r="U212" s="173">
        <f t="shared" si="52"/>
        <v>4</v>
      </c>
      <c r="V212" s="173">
        <f t="shared" si="52"/>
        <v>4</v>
      </c>
      <c r="W212" s="173">
        <f t="shared" si="52"/>
        <v>2</v>
      </c>
      <c r="X212" s="173">
        <f t="shared" si="52"/>
        <v>2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0</v>
      </c>
      <c r="O213" s="173">
        <f t="shared" si="52"/>
        <v>0</v>
      </c>
      <c r="P213" s="173">
        <f t="shared" si="52"/>
        <v>0</v>
      </c>
      <c r="Q213" s="173">
        <f t="shared" si="52"/>
        <v>0</v>
      </c>
      <c r="R213" s="173">
        <f t="shared" si="52"/>
        <v>0</v>
      </c>
      <c r="S213" s="173">
        <f t="shared" si="52"/>
        <v>0</v>
      </c>
      <c r="T213" s="173">
        <f t="shared" si="52"/>
        <v>0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4</v>
      </c>
      <c r="H214" s="173">
        <f t="shared" si="53"/>
        <v>4</v>
      </c>
      <c r="I214" s="173">
        <f t="shared" si="53"/>
        <v>4</v>
      </c>
      <c r="J214" s="173">
        <f t="shared" si="53"/>
        <v>4</v>
      </c>
      <c r="K214" s="173">
        <f t="shared" si="53"/>
        <v>4</v>
      </c>
      <c r="L214" s="173">
        <f t="shared" si="53"/>
        <v>4</v>
      </c>
      <c r="M214" s="173">
        <f t="shared" si="53"/>
        <v>4</v>
      </c>
      <c r="N214" s="173">
        <f t="shared" si="53"/>
        <v>4</v>
      </c>
      <c r="O214" s="173">
        <f t="shared" si="53"/>
        <v>4</v>
      </c>
      <c r="P214" s="173">
        <f t="shared" si="53"/>
        <v>4</v>
      </c>
      <c r="Q214" s="173">
        <f t="shared" si="53"/>
        <v>4</v>
      </c>
      <c r="R214" s="173">
        <f t="shared" si="53"/>
        <v>4</v>
      </c>
      <c r="S214" s="173">
        <f t="shared" si="53"/>
        <v>4</v>
      </c>
      <c r="T214" s="173">
        <f t="shared" si="53"/>
        <v>4</v>
      </c>
      <c r="U214" s="173">
        <f t="shared" si="53"/>
        <v>4</v>
      </c>
      <c r="V214" s="173">
        <f t="shared" si="53"/>
        <v>4</v>
      </c>
      <c r="W214" s="173">
        <f t="shared" si="53"/>
        <v>2</v>
      </c>
      <c r="X214" s="173">
        <f t="shared" si="53"/>
        <v>2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8" activePane="bottomLeft" state="frozen"/>
      <selection activeCell="J83" sqref="J83"/>
      <selection pane="bottomLeft" activeCell="F73" sqref="F73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7" t="s">
        <v>2</v>
      </c>
      <c r="H1" s="297"/>
      <c r="I1" s="297" t="s">
        <v>0</v>
      </c>
      <c r="J1" s="297"/>
      <c r="K1" s="297" t="s">
        <v>1</v>
      </c>
      <c r="L1" s="297"/>
      <c r="M1" s="297" t="s">
        <v>3</v>
      </c>
      <c r="N1" s="297"/>
      <c r="O1" s="297" t="s">
        <v>4</v>
      </c>
      <c r="P1" s="297"/>
      <c r="Q1" s="297" t="s">
        <v>5</v>
      </c>
      <c r="R1" s="297"/>
      <c r="S1" s="297" t="s">
        <v>6</v>
      </c>
      <c r="T1" s="297"/>
      <c r="U1" s="297" t="s">
        <v>7</v>
      </c>
      <c r="V1" s="297"/>
      <c r="W1" s="297" t="s">
        <v>8</v>
      </c>
      <c r="X1" s="297"/>
      <c r="Y1" s="297" t="s">
        <v>9</v>
      </c>
      <c r="Z1" s="297"/>
      <c r="AA1" s="297" t="s">
        <v>10</v>
      </c>
      <c r="AB1" s="297"/>
      <c r="AC1" s="297" t="s">
        <v>11</v>
      </c>
      <c r="AD1" s="297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623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28</v>
      </c>
      <c r="M5" s="173">
        <f t="shared" si="0"/>
        <v>28</v>
      </c>
      <c r="N5" s="173">
        <f t="shared" si="0"/>
        <v>28</v>
      </c>
      <c r="O5" s="173">
        <f t="shared" si="0"/>
        <v>28</v>
      </c>
      <c r="P5" s="173">
        <f t="shared" si="0"/>
        <v>28</v>
      </c>
      <c r="Q5" s="173">
        <f t="shared" si="0"/>
        <v>28</v>
      </c>
      <c r="R5" s="173">
        <f t="shared" si="0"/>
        <v>35</v>
      </c>
      <c r="S5" s="173">
        <f t="shared" si="0"/>
        <v>35</v>
      </c>
      <c r="T5" s="173">
        <f t="shared" si="0"/>
        <v>35</v>
      </c>
      <c r="U5" s="173">
        <f t="shared" si="0"/>
        <v>35</v>
      </c>
      <c r="V5" s="173">
        <f t="shared" si="0"/>
        <v>35</v>
      </c>
      <c r="W5" s="173">
        <f t="shared" si="0"/>
        <v>35</v>
      </c>
      <c r="X5" s="173">
        <f t="shared" si="0"/>
        <v>35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172.2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22.75</v>
      </c>
      <c r="Z6" s="173">
        <f t="shared" si="2"/>
        <v>22.75</v>
      </c>
      <c r="AA6" s="173">
        <f t="shared" si="2"/>
        <v>29.75</v>
      </c>
      <c r="AB6" s="173">
        <f t="shared" si="2"/>
        <v>29.75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980.04139130434783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2394.0413913043481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114.12921739130435</v>
      </c>
      <c r="J13" s="30">
        <f t="shared" si="8"/>
        <v>128.08295652173913</v>
      </c>
      <c r="K13" s="30">
        <f t="shared" si="8"/>
        <v>128.0366956521739</v>
      </c>
      <c r="L13" s="30">
        <f t="shared" si="8"/>
        <v>131.4904347826087</v>
      </c>
      <c r="M13" s="30">
        <f t="shared" si="8"/>
        <v>120.94417391304347</v>
      </c>
      <c r="N13" s="30">
        <f t="shared" si="8"/>
        <v>124.39791304347827</v>
      </c>
      <c r="O13" s="30">
        <f t="shared" si="8"/>
        <v>124.30539130434784</v>
      </c>
      <c r="P13" s="30">
        <f t="shared" si="8"/>
        <v>102.33391304347826</v>
      </c>
      <c r="Q13" s="30">
        <f t="shared" si="8"/>
        <v>67.333913043478262</v>
      </c>
      <c r="R13" s="30">
        <f t="shared" si="8"/>
        <v>65.405565217391313</v>
      </c>
      <c r="S13" s="30">
        <f t="shared" si="8"/>
        <v>65.405565217391313</v>
      </c>
      <c r="T13" s="30">
        <f t="shared" si="8"/>
        <v>65.405565217391313</v>
      </c>
      <c r="U13" s="30">
        <f t="shared" si="8"/>
        <v>65.405565217391313</v>
      </c>
      <c r="V13" s="30">
        <f t="shared" si="8"/>
        <v>65.405565217391313</v>
      </c>
      <c r="W13" s="30">
        <f t="shared" si="8"/>
        <v>65.405565217391313</v>
      </c>
      <c r="X13" s="30">
        <f t="shared" si="8"/>
        <v>65.405565217391313</v>
      </c>
      <c r="Y13" s="30">
        <f t="shared" si="8"/>
        <v>102.33391304347826</v>
      </c>
      <c r="Z13" s="30">
        <f t="shared" si="8"/>
        <v>122.91756521739131</v>
      </c>
      <c r="AA13" s="30">
        <f t="shared" si="8"/>
        <v>115.91756521739131</v>
      </c>
      <c r="AB13" s="30">
        <f t="shared" si="8"/>
        <v>117.81426086956522</v>
      </c>
      <c r="AC13" s="30">
        <f t="shared" si="8"/>
        <v>109.06426086956522</v>
      </c>
      <c r="AD13" s="30">
        <f t="shared" si="8"/>
        <v>109.06426086956522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0</v>
      </c>
      <c r="F16" s="173">
        <f>IF(B16&gt;0,D16*E16/B16,0)</f>
        <v>0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1</v>
      </c>
      <c r="C17" s="190">
        <f>VALUE(LEFT(Scénario!K64,1))</f>
        <v>1</v>
      </c>
      <c r="D17" s="190">
        <f>IF(B17&gt;0,VLOOKUP(C17,[1]Trav!$A$86:$D$90,4),0)</f>
        <v>12</v>
      </c>
      <c r="E17" s="190">
        <f>Scénario!K61*2</f>
        <v>8</v>
      </c>
      <c r="F17" s="173">
        <f t="shared" ref="F17:F18" si="15">IF(B17&gt;0,D17*E17/B17,0)</f>
        <v>96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279</v>
      </c>
      <c r="C31" s="190">
        <f>IF(B31&gt;0,VLOOKUP(Troupeau!B3,[1]Trav!$A$96:$B$99,2),0)</f>
        <v>110</v>
      </c>
      <c r="D31" s="172"/>
      <c r="E31" s="172"/>
      <c r="F31" s="173">
        <f>B31*C31/60</f>
        <v>511.5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15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90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265</v>
      </c>
      <c r="D35" s="190">
        <f>IF(Troupeau!B3="OL",[1]Trav!$B$103,0)</f>
        <v>2.4900000000000002</v>
      </c>
      <c r="E35" s="172"/>
      <c r="F35" s="173">
        <f>B35+C35*D35</f>
        <v>879.85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3</v>
      </c>
      <c r="CC38" s="173">
        <f>IF(CdTrp2!C53=1,3,IF(CdTrp2!C53=0.5,2,IF(CdTrp2!C53=0,1,0)))</f>
        <v>3</v>
      </c>
      <c r="CD38" s="173">
        <f>IF(CdTrp2!D53=1,3,IF(CdTrp2!D53=0.5,2,IF(CdTrp2!D53=0,1,0)))</f>
        <v>1</v>
      </c>
      <c r="CE38" s="173">
        <f>IF(CdTrp2!E53=1,3,IF(CdTrp2!E53=0.5,2,IF(CdTrp2!E53=0,1,0)))</f>
        <v>1</v>
      </c>
      <c r="CF38" s="173">
        <f>IF(CdTrp2!F53=1,3,IF(CdTrp2!F53=0.5,2,IF(CdTrp2!F53=0,1,0)))</f>
        <v>1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3</v>
      </c>
      <c r="CY38" s="173">
        <f>IF(CdTrp2!Y53=1,3,IF(CdTrp2!Y53=0.5,2,IF(CdTrp2!Y53=0,1,0)))</f>
        <v>3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1</v>
      </c>
      <c r="BA49" s="173">
        <f>IF(CdTrp1!G77=1,1,IF(CdTrp1!G77=2,2,IF(CdTrp1!G77=3,2,0)))</f>
        <v>1</v>
      </c>
      <c r="BB49" s="173">
        <f>IF(CdTrp1!H77=1,1,IF(CdTrp1!H77=2,2,IF(CdTrp1!H77=3,2,0)))</f>
        <v>1</v>
      </c>
      <c r="BC49" s="173">
        <f>IF(CdTrp1!I77=1,1,IF(CdTrp1!I77=2,2,IF(CdTrp1!I77=3,2,0)))</f>
        <v>1</v>
      </c>
      <c r="BD49" s="173">
        <f>IF(CdTrp1!J77=1,1,IF(CdTrp1!J77=2,2,IF(CdTrp1!J77=3,2,0)))</f>
        <v>1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1</v>
      </c>
      <c r="BP49" s="173">
        <f>IF(CdTrp1!V77=1,1,IF(CdTrp1!V77=2,2,IF(CdTrp1!V77=3,2,0)))</f>
        <v>1</v>
      </c>
      <c r="BQ49" s="173">
        <f>IF(CdTrp1!W77=1,1,IF(CdTrp1!W77=2,2,IF(CdTrp1!W77=3,2,0)))</f>
        <v>1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1</v>
      </c>
      <c r="CE49" s="173">
        <f>IF(CdTrp2!E77=1,1,IF(CdTrp2!E77=2,2,IF(CdTrp2!E77=3,2,0)))</f>
        <v>1</v>
      </c>
      <c r="CF49" s="173">
        <f>IF(CdTrp2!F77=1,1,IF(CdTrp2!F77=2,2,IF(CdTrp2!F77=3,2,0)))</f>
        <v>1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2</v>
      </c>
      <c r="CV50" s="173">
        <f>IF(CdTrp2!V78=1,1,IF(CdTrp2!V78=2,2,IF(CdTrp2!V78=3,2,0)))</f>
        <v>2</v>
      </c>
      <c r="CW50" s="173">
        <f>IF(CdTrp2!W78=1,1,IF(CdTrp2!W78=2,2,IF(CdTrp2!W78=3,2,0)))</f>
        <v>2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18</v>
      </c>
      <c r="C55" s="190">
        <f>IF(B55&gt;[1]Trav!E121,[1]Trav!C121,[1]Trav!B121)</f>
        <v>7.2</v>
      </c>
      <c r="D55"/>
      <c r="E55" s="172"/>
      <c r="F55" s="173">
        <f t="shared" si="32"/>
        <v>130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12.1</v>
      </c>
      <c r="C56" s="190">
        <f>IF(B56&gt;[1]Trav!E121,[1]Trav!C121,[1]Trav!B121)</f>
        <v>7.2</v>
      </c>
      <c r="D56"/>
      <c r="E56" s="172"/>
      <c r="F56" s="173">
        <f t="shared" si="32"/>
        <v>87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</v>
      </c>
      <c r="C58" s="190">
        <f>IF(B58&gt;[1]Trav!E122,[1]Trav!C122,[1]Trav!B122)</f>
        <v>4.4000000000000004</v>
      </c>
      <c r="E58" s="172"/>
      <c r="F58" s="173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211</v>
      </c>
      <c r="BH60" s="173">
        <f>IF(BH15=0,0,IF(BH37=3,0,VALUE(CONCATENATE(Travail!BH26,Travail!BH37,Travail!BH48))))</f>
        <v>211</v>
      </c>
      <c r="BI60" s="173">
        <f>IF(BI15=0,0,IF(BI37=3,0,VALUE(CONCATENATE(Travail!BI26,Travail!BI37,Travail!BI48))))</f>
        <v>211</v>
      </c>
      <c r="BJ60" s="173">
        <f>IF(BJ15=0,0,IF(BJ37=3,0,VALUE(CONCATENATE(Travail!BJ26,Travail!BJ37,Travail!BJ48))))</f>
        <v>211</v>
      </c>
      <c r="BK60" s="173">
        <f>IF(BK15=0,0,IF(BK37=3,0,VALUE(CONCATENATE(Travail!BK26,Travail!BK37,Travail!BK48))))</f>
        <v>211</v>
      </c>
      <c r="BL60" s="173">
        <f>IF(BL15=0,0,IF(BL37=3,0,VALUE(CONCATENATE(Travail!BL26,Travail!BL37,Travail!BL48))))</f>
        <v>211</v>
      </c>
      <c r="BM60" s="173">
        <f>IF(BM15=0,0,IF(BM37=3,0,VALUE(CONCATENATE(Travail!BM26,Travail!BM37,Travail!BM48))))</f>
        <v>211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221</v>
      </c>
      <c r="AW61" s="173">
        <f>IF(AW16=0,0,IF(AW38=3,0,VALUE(CONCATENATE(Travail!AW27,Travail!AW38,Travail!AW49))))</f>
        <v>221</v>
      </c>
      <c r="AX61" s="173">
        <f>IF(AX16=0,0,IF(AX38=3,0,VALUE(CONCATENATE(Travail!AX27,Travail!AX38,Travail!AX49))))</f>
        <v>221</v>
      </c>
      <c r="AY61" s="173">
        <f>IF(AY16=0,0,IF(AY38=3,0,VALUE(CONCATENATE(Travail!AY27,Travail!AY38,Travail!AY49))))</f>
        <v>221</v>
      </c>
      <c r="AZ61" s="173">
        <f>IF(AZ16=0,0,IF(AZ38=3,0,VALUE(CONCATENATE(Travail!AZ27,Travail!AZ38,Travail!AZ49))))</f>
        <v>221</v>
      </c>
      <c r="BA61" s="173">
        <f>IF(BA16=0,0,IF(BA38=3,0,VALUE(CONCATENATE(Travail!BA27,Travail!BA38,Travail!BA49))))</f>
        <v>221</v>
      </c>
      <c r="BB61" s="173">
        <f>IF(BB16=0,0,IF(BB38=3,0,VALUE(CONCATENATE(Travail!BB27,Travail!BB38,Travail!BB49))))</f>
        <v>221</v>
      </c>
      <c r="BC61" s="173">
        <f>IF(BC16=0,0,IF(BC38=3,0,VALUE(CONCATENATE(Travail!BC27,Travail!BC38,Travail!BC49))))</f>
        <v>221</v>
      </c>
      <c r="BD61" s="173">
        <f>IF(BD16=0,0,IF(BD38=3,0,VALUE(CONCATENATE(Travail!BD27,Travail!BD38,Travail!BD49))))</f>
        <v>221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221</v>
      </c>
      <c r="BP61" s="173">
        <f>IF(BP16=0,0,IF(BP38=3,0,VALUE(CONCATENATE(Travail!BP27,Travail!BP38,Travail!BP49))))</f>
        <v>221</v>
      </c>
      <c r="BQ61" s="173">
        <f>IF(BQ16=0,0,IF(BQ38=3,0,VALUE(CONCATENATE(Travail!BQ27,Travail!BQ38,Travail!BQ49))))</f>
        <v>221</v>
      </c>
      <c r="BR61" s="173">
        <f>IF(BR16=0,0,IF(BR38=3,0,VALUE(CONCATENATE(Travail!BR27,Travail!BR38,Travail!BR49))))</f>
        <v>221</v>
      </c>
      <c r="BS61" s="173">
        <f>IF(BS16=0,0,IF(BS38=3,0,VALUE(CONCATENATE(Travail!BS27,Travail!BS38,Travail!BS49))))</f>
        <v>221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112</v>
      </c>
      <c r="CV62" s="173">
        <f>IF(CV17=0,0,IF(CV39=3,0,VALUE(CONCATENATE(Travail!CV28,Travail!CV39,Travail!CV50))))</f>
        <v>112</v>
      </c>
      <c r="CW62" s="173">
        <f>IF(CW17=0,0,IF(CW39=3,0,VALUE(CONCATENATE(Travail!CW28,Travail!CW39,Travail!CW50))))</f>
        <v>112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" si="39">ROUND(SUM(G72:AD72),0)</f>
        <v>205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80"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10</v>
      </c>
      <c r="J73" s="173">
        <f>IF(AND(Troupeau!$C$3="BV",Scénario!$K$87&gt;2),Protection!F25*([1]Protect!$B$22+[1]Protect!$B$23),0)</f>
        <v>10</v>
      </c>
      <c r="K73" s="173">
        <f>IF(AND(Troupeau!$C$3="BV",Scénario!$K$87&gt;2),Protection!G25*([1]Protect!$B$22+[1]Protect!$B$23),0)</f>
        <v>5</v>
      </c>
      <c r="L73" s="173">
        <f>IF(AND(Troupeau!$C$3="BV",Scénario!$K$87&gt;2),Protection!H25*([1]Protect!$B$22+[1]Protect!$B$23),0)</f>
        <v>10</v>
      </c>
      <c r="M73" s="173">
        <f>IF(AND(Troupeau!$C$3="BV",Scénario!$K$87&gt;2),Protection!I25*([1]Protect!$B$22+[1]Protect!$B$23),0)</f>
        <v>15</v>
      </c>
      <c r="N73" s="173">
        <f>IF(AND(Troupeau!$C$3="BV",Scénario!$K$87&gt;2),Protection!J25*([1]Protect!$B$22+[1]Protect!$B$23),0)</f>
        <v>15</v>
      </c>
      <c r="O73" s="173">
        <f>IF(AND(Troupeau!$C$3="BV",Scénario!$K$87&gt;2),Protection!K25*([1]Protect!$B$22+[1]Protect!$B$23),0)</f>
        <v>10</v>
      </c>
      <c r="P73" s="173">
        <f>IF(AND(Troupeau!$C$3="BV",Scénario!$K$87&gt;2),Protection!L25*([1]Protect!$B$22+[1]Protect!$B$23),0)</f>
        <v>15</v>
      </c>
      <c r="Q73" s="173">
        <f>IF(AND(Troupeau!$C$3="BV",Scénario!$K$87&gt;2),Protection!M25*([1]Protect!$B$22+[1]Protect!$B$23),0)</f>
        <v>10</v>
      </c>
      <c r="R73" s="173">
        <f>IF(AND(Troupeau!$C$3="BV",Scénario!$K$87&gt;2),Protection!N25*([1]Protect!$B$22+[1]Protect!$B$23),0)</f>
        <v>10</v>
      </c>
      <c r="S73" s="173">
        <f>IF(AND(Troupeau!$C$3="BV",Scénario!$K$87&gt;2),Protection!O25*([1]Protect!$B$22+[1]Protect!$B$23),0)</f>
        <v>5</v>
      </c>
      <c r="T73" s="173">
        <f>IF(AND(Troupeau!$C$3="BV",Scénario!$K$87&gt;2),Protection!P25*([1]Protect!$B$22+[1]Protect!$B$23),0)</f>
        <v>10</v>
      </c>
      <c r="U73" s="173">
        <f>IF(AND(Troupeau!$C$3="BV",Scénario!$K$87&gt;2),Protection!Q25*([1]Protect!$B$22+[1]Protect!$B$23),0)</f>
        <v>10</v>
      </c>
      <c r="V73" s="173">
        <f>IF(AND(Troupeau!$C$3="BV",Scénario!$K$87&gt;2),Protection!R25*([1]Protect!$B$22+[1]Protect!$B$23),0)</f>
        <v>10</v>
      </c>
      <c r="W73" s="173">
        <f>IF(AND(Troupeau!$C$3="BV",Scénario!$K$87&gt;2),Protection!S25*([1]Protect!$B$22+[1]Protect!$B$23),0)</f>
        <v>10</v>
      </c>
      <c r="X73" s="173">
        <f>IF(AND(Troupeau!$C$3="BV",Scénario!$K$87&gt;2),Protection!T25*([1]Protect!$B$22+[1]Protect!$B$23),0)</f>
        <v>10</v>
      </c>
      <c r="Y73" s="173">
        <f>IF(AND(Troupeau!$C$3="BV",Scénario!$K$87&gt;2),Protection!U25*([1]Protect!$B$22+[1]Protect!$B$23),0)</f>
        <v>10</v>
      </c>
      <c r="Z73" s="173">
        <f>IF(AND(Troupeau!$C$3="BV",Scénario!$K$87&gt;2),Protection!V25*([1]Protect!$B$22+[1]Protect!$B$23),0)</f>
        <v>5</v>
      </c>
      <c r="AA73" s="173">
        <f>IF(AND(Troupeau!$C$3="BV",Scénario!$K$87&gt;2),Protection!W25*([1]Protect!$B$22+[1]Protect!$B$23),0)</f>
        <v>10</v>
      </c>
      <c r="AB73" s="173">
        <f>IF(AND(Troupeau!$C$3="BV",Scénario!$K$87&gt;2),Protection!X25*([1]Protect!$B$22+[1]Protect!$B$23),0)</f>
        <v>15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108.5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7</v>
      </c>
      <c r="S75" s="198">
        <f>IF(Protection!O195=0,0,[1]Protect!$B$9*Protection!O195*14)</f>
        <v>7</v>
      </c>
      <c r="T75" s="198">
        <f>IF(Protection!P195=0,0,[1]Protect!$B$9*Protection!P195*14)</f>
        <v>7</v>
      </c>
      <c r="U75" s="198">
        <f>IF(Protection!Q195=0,0,[1]Protect!$B$9*Protection!Q195*14)</f>
        <v>7</v>
      </c>
      <c r="V75" s="198">
        <f>IF(Protection!R195=0,0,[1]Protect!$B$9*Protection!R195*14)</f>
        <v>7</v>
      </c>
      <c r="W75" s="198">
        <f>IF(Protection!S195=0,0,[1]Protect!$B$9*Protection!S195*14)</f>
        <v>7</v>
      </c>
      <c r="X75" s="198">
        <f>IF(Protection!T195=0,0,[1]Protect!$B$9*Protection!T195*14)</f>
        <v>7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518.5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18.5</v>
      </c>
      <c r="J77" s="46">
        <f t="shared" si="43"/>
        <v>23.5</v>
      </c>
      <c r="K77" s="46">
        <f t="shared" si="43"/>
        <v>18.5</v>
      </c>
      <c r="L77" s="46">
        <f t="shared" si="43"/>
        <v>23.5</v>
      </c>
      <c r="M77" s="46">
        <f t="shared" si="43"/>
        <v>28.5</v>
      </c>
      <c r="N77" s="46">
        <f t="shared" si="43"/>
        <v>28.5</v>
      </c>
      <c r="O77" s="46">
        <f t="shared" si="43"/>
        <v>23.5</v>
      </c>
      <c r="P77" s="46">
        <f t="shared" si="43"/>
        <v>28.5</v>
      </c>
      <c r="Q77" s="46">
        <f t="shared" si="43"/>
        <v>23.5</v>
      </c>
      <c r="R77" s="46">
        <f t="shared" si="43"/>
        <v>27</v>
      </c>
      <c r="S77" s="46">
        <f t="shared" si="43"/>
        <v>22</v>
      </c>
      <c r="T77" s="46">
        <f t="shared" si="43"/>
        <v>27</v>
      </c>
      <c r="U77" s="46">
        <f t="shared" si="43"/>
        <v>27</v>
      </c>
      <c r="V77" s="46">
        <f t="shared" si="43"/>
        <v>27</v>
      </c>
      <c r="W77" s="46">
        <f t="shared" si="43"/>
        <v>27</v>
      </c>
      <c r="X77" s="46">
        <f t="shared" si="43"/>
        <v>27</v>
      </c>
      <c r="Y77" s="46">
        <f t="shared" si="43"/>
        <v>23.5</v>
      </c>
      <c r="Z77" s="46">
        <f t="shared" si="43"/>
        <v>18.5</v>
      </c>
      <c r="AA77" s="46">
        <f t="shared" si="43"/>
        <v>18.5</v>
      </c>
      <c r="AB77" s="46">
        <f t="shared" si="43"/>
        <v>23.5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0.56999999999999995</v>
      </c>
      <c r="C81" s="190">
        <f>[1]Protect!$B$10</f>
        <v>4</v>
      </c>
      <c r="D81" s="172"/>
      <c r="E81" s="172"/>
      <c r="F81" s="173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4.3170000000000002</v>
      </c>
      <c r="C83" s="190">
        <f>[1]Protect!$B$24+[1]Protect!$B$26</f>
        <v>0.33</v>
      </c>
      <c r="D83" s="172"/>
      <c r="E83" s="172"/>
      <c r="F83" s="173">
        <f>ROUND(B83*C83,1)</f>
        <v>1.4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3.5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1603.0413913043478</v>
      </c>
      <c r="C91" s="5"/>
      <c r="D91" s="202">
        <f>B91/Troupeau!$B$17</f>
        <v>5.2731624713958807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25.11304347826087</v>
      </c>
      <c r="AW91" s="173">
        <f t="shared" si="60"/>
        <v>25.11304347826087</v>
      </c>
      <c r="AX91" s="173">
        <f t="shared" si="60"/>
        <v>25.11304347826087</v>
      </c>
      <c r="AY91" s="173">
        <f t="shared" si="60"/>
        <v>25.11304347826087</v>
      </c>
      <c r="AZ91" s="173">
        <f t="shared" si="60"/>
        <v>25.11304347826087</v>
      </c>
      <c r="BA91" s="173">
        <f t="shared" si="60"/>
        <v>25.11304347826087</v>
      </c>
      <c r="BB91" s="173">
        <f t="shared" si="60"/>
        <v>25.11304347826087</v>
      </c>
      <c r="BC91" s="173">
        <f t="shared" si="60"/>
        <v>25.11304347826087</v>
      </c>
      <c r="BD91" s="173">
        <f t="shared" si="60"/>
        <v>25.11304347826087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25.11304347826087</v>
      </c>
      <c r="BP91" s="173">
        <f t="shared" si="60"/>
        <v>25.11304347826087</v>
      </c>
      <c r="BQ91" s="173">
        <f t="shared" si="60"/>
        <v>25.11304347826087</v>
      </c>
      <c r="BR91" s="173">
        <f t="shared" si="60"/>
        <v>25.11304347826087</v>
      </c>
      <c r="BS91" s="173">
        <f t="shared" si="60"/>
        <v>25.11304347826087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676.2</v>
      </c>
      <c r="C92" s="5"/>
      <c r="D92" s="202">
        <f>IF(B92=0,0,B92/Troupeau!$C$17)</f>
        <v>35.589473684210532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7.9304347826086961</v>
      </c>
      <c r="AW93" s="173">
        <f t="shared" si="60"/>
        <v>7.9304347826086961</v>
      </c>
      <c r="AX93" s="173">
        <f t="shared" si="60"/>
        <v>7.9304347826086961</v>
      </c>
      <c r="AY93" s="173">
        <f t="shared" si="60"/>
        <v>7.9304347826086961</v>
      </c>
      <c r="AZ93" s="173">
        <f t="shared" si="60"/>
        <v>7.9304347826086961</v>
      </c>
      <c r="BA93" s="173">
        <f t="shared" si="60"/>
        <v>7.9304347826086961</v>
      </c>
      <c r="BB93" s="173">
        <f t="shared" si="60"/>
        <v>7.9304347826086961</v>
      </c>
      <c r="BC93" s="173">
        <f t="shared" si="60"/>
        <v>7.9304347826086961</v>
      </c>
      <c r="BD93" s="173">
        <f t="shared" si="60"/>
        <v>7.9304347826086961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7.9304347826086961</v>
      </c>
      <c r="BP93" s="173">
        <f t="shared" si="60"/>
        <v>7.9304347826086961</v>
      </c>
      <c r="BQ93" s="173">
        <f t="shared" si="60"/>
        <v>7.9304347826086961</v>
      </c>
      <c r="BR93" s="173">
        <f t="shared" si="60"/>
        <v>7.9304347826086961</v>
      </c>
      <c r="BS93" s="173">
        <f t="shared" si="60"/>
        <v>7.9304347826086961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2279.2413913043479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2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96</v>
      </c>
      <c r="C96" s="5"/>
      <c r="D96" s="202">
        <f>IF(B96=0,0,B96/Troupeau!$C$17)</f>
        <v>5.0526315789473681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96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1391.35</v>
      </c>
      <c r="C99" s="5"/>
      <c r="D99" s="202">
        <f>B99/Troupeau!$B$17</f>
        <v>4.5768092105263154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366.12173913043478</v>
      </c>
      <c r="AW99" s="62">
        <f t="shared" ref="AW99:BS99" si="68">SUM(AW90:AW98)</f>
        <v>363.47826086956525</v>
      </c>
      <c r="AX99" s="62">
        <f t="shared" si="68"/>
        <v>360.83478260869566</v>
      </c>
      <c r="AY99" s="62">
        <f t="shared" si="68"/>
        <v>359.5130434782609</v>
      </c>
      <c r="AZ99" s="62">
        <f t="shared" si="68"/>
        <v>358.19130434782608</v>
      </c>
      <c r="BA99" s="62">
        <f t="shared" si="68"/>
        <v>356.86956521739131</v>
      </c>
      <c r="BB99" s="62">
        <f t="shared" si="68"/>
        <v>355.54782608695655</v>
      </c>
      <c r="BC99" s="62">
        <f t="shared" si="68"/>
        <v>354.22608695652178</v>
      </c>
      <c r="BD99" s="62">
        <f t="shared" si="68"/>
        <v>351.5826086956522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311.9304347826087</v>
      </c>
      <c r="BP99" s="62">
        <f t="shared" si="68"/>
        <v>311.9304347826087</v>
      </c>
      <c r="BQ99" s="62">
        <f t="shared" si="68"/>
        <v>366.12173913043478</v>
      </c>
      <c r="BR99" s="62">
        <f t="shared" si="68"/>
        <v>366.12173913043478</v>
      </c>
      <c r="BS99" s="62">
        <f t="shared" si="68"/>
        <v>366.12173913043478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90</v>
      </c>
      <c r="C100" s="5"/>
      <c r="D100" s="202">
        <f>IF(B100=0,0,B100/Troupeau!$C$17)</f>
        <v>4.7368421052631575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7.3224347826086955</v>
      </c>
      <c r="AW100" s="173">
        <f t="shared" ref="AW100:BS100" si="71">IF($AT$2="OL",AW99/50,AW99/10)</f>
        <v>7.269565217391305</v>
      </c>
      <c r="AX100" s="173">
        <f t="shared" si="71"/>
        <v>7.2166956521739136</v>
      </c>
      <c r="AY100" s="173">
        <f t="shared" si="71"/>
        <v>7.1902608695652184</v>
      </c>
      <c r="AZ100" s="173">
        <f t="shared" si="71"/>
        <v>7.1638260869565213</v>
      </c>
      <c r="BA100" s="173">
        <f t="shared" si="71"/>
        <v>7.1373913043478261</v>
      </c>
      <c r="BB100" s="173">
        <f t="shared" si="71"/>
        <v>7.1109565217391308</v>
      </c>
      <c r="BC100" s="173">
        <f t="shared" si="71"/>
        <v>7.0845217391304356</v>
      </c>
      <c r="BD100" s="173">
        <f t="shared" si="71"/>
        <v>7.0316521739130442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6.2386086956521742</v>
      </c>
      <c r="BP100" s="173">
        <f t="shared" si="71"/>
        <v>6.2386086956521742</v>
      </c>
      <c r="BQ100" s="173">
        <f t="shared" si="71"/>
        <v>7.3224347826086955</v>
      </c>
      <c r="BR100" s="173">
        <f t="shared" si="71"/>
        <v>7.3224347826086955</v>
      </c>
      <c r="BS100" s="173">
        <f t="shared" si="71"/>
        <v>7.3224347826086955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6.3224347826086955</v>
      </c>
      <c r="AW101" s="173">
        <f t="shared" ref="AW101:BS101" si="74">IF(AW100&gt;1,AW100-1,0)</f>
        <v>6.269565217391305</v>
      </c>
      <c r="AX101" s="173">
        <f t="shared" si="74"/>
        <v>6.2166956521739136</v>
      </c>
      <c r="AY101" s="173">
        <f t="shared" si="74"/>
        <v>6.1902608695652184</v>
      </c>
      <c r="AZ101" s="173">
        <f t="shared" si="74"/>
        <v>6.1638260869565213</v>
      </c>
      <c r="BA101" s="173">
        <f t="shared" si="74"/>
        <v>6.1373913043478261</v>
      </c>
      <c r="BB101" s="173">
        <f t="shared" si="74"/>
        <v>6.1109565217391308</v>
      </c>
      <c r="BC101" s="173">
        <f t="shared" si="74"/>
        <v>6.0845217391304356</v>
      </c>
      <c r="BD101" s="173">
        <f t="shared" si="74"/>
        <v>6.0316521739130442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5.2386086956521742</v>
      </c>
      <c r="BP101" s="173">
        <f t="shared" si="74"/>
        <v>5.2386086956521742</v>
      </c>
      <c r="BQ101" s="173">
        <f t="shared" si="74"/>
        <v>6.3224347826086955</v>
      </c>
      <c r="BR101" s="173">
        <f t="shared" si="74"/>
        <v>6.3224347826086955</v>
      </c>
      <c r="BS101" s="173">
        <f t="shared" si="74"/>
        <v>6.3224347826086955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1481.35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53.064260869565217</v>
      </c>
      <c r="AW102" s="62">
        <f t="shared" ref="AW102:BS102" si="77">AW86+AW87*AW101</f>
        <v>52.971739130434784</v>
      </c>
      <c r="AX102" s="62">
        <f t="shared" si="77"/>
        <v>52.879217391304351</v>
      </c>
      <c r="AY102" s="62">
        <f t="shared" si="77"/>
        <v>52.832956521739135</v>
      </c>
      <c r="AZ102" s="62">
        <f t="shared" si="77"/>
        <v>52.786695652173911</v>
      </c>
      <c r="BA102" s="62">
        <f t="shared" si="77"/>
        <v>52.740434782608695</v>
      </c>
      <c r="BB102" s="62">
        <f t="shared" si="77"/>
        <v>52.694173913043478</v>
      </c>
      <c r="BC102" s="62">
        <f t="shared" si="77"/>
        <v>52.647913043478262</v>
      </c>
      <c r="BD102" s="62">
        <f t="shared" si="77"/>
        <v>52.555391304347829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51.167565217391306</v>
      </c>
      <c r="BP102" s="62">
        <f t="shared" si="77"/>
        <v>51.167565217391306</v>
      </c>
      <c r="BQ102" s="62">
        <f t="shared" si="77"/>
        <v>53.064260869565217</v>
      </c>
      <c r="BR102" s="62">
        <f t="shared" si="77"/>
        <v>53.064260869565217</v>
      </c>
      <c r="BS102" s="62">
        <f t="shared" si="77"/>
        <v>53.064260869565217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21</v>
      </c>
      <c r="BH106" s="190">
        <f>IF(BH60&gt;0,HLOOKUP(BH60,[1]Trav!$C$11:$O$31,$AU$105),0)</f>
        <v>21</v>
      </c>
      <c r="BI106" s="190">
        <f>IF(BI60&gt;0,HLOOKUP(BI60,[1]Trav!$C$11:$O$31,$AU$105),0)</f>
        <v>21</v>
      </c>
      <c r="BJ106" s="190">
        <f>IF(BJ60&gt;0,HLOOKUP(BJ60,[1]Trav!$C$11:$O$31,$AU$105),0)</f>
        <v>21</v>
      </c>
      <c r="BK106" s="190">
        <f>IF(BK60&gt;0,HLOOKUP(BK60,[1]Trav!$C$11:$O$31,$AU$105),0)</f>
        <v>21</v>
      </c>
      <c r="BL106" s="190">
        <f>IF(BL60&gt;0,HLOOKUP(BL60,[1]Trav!$C$11:$O$31,$AU$105),0)</f>
        <v>21</v>
      </c>
      <c r="BM106" s="190">
        <f>IF(BM60&gt;0,HLOOKUP(BM60,[1]Trav!$C$11:$O$31,$AU$105),0)</f>
        <v>21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14</v>
      </c>
      <c r="BA107" s="190">
        <f>IF(BA61&gt;0,HLOOKUP(BA61,[1]Trav!$C$11:$O$31,$AU$105),0)</f>
        <v>14</v>
      </c>
      <c r="BB107" s="190">
        <f>IF(BB61&gt;0,HLOOKUP(BB61,[1]Trav!$C$11:$O$31,$AU$105),0)</f>
        <v>14</v>
      </c>
      <c r="BC107" s="190">
        <f>IF(BC61&gt;0,HLOOKUP(BC61,[1]Trav!$C$11:$O$31,$AU$105),0)</f>
        <v>14</v>
      </c>
      <c r="BD107" s="190">
        <f>IF(BD61&gt;0,HLOOKUP(BD61,[1]Trav!$C$11:$O$31,$AU$105),0)</f>
        <v>14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14</v>
      </c>
      <c r="BP107" s="190">
        <f>IF(BP61&gt;0,HLOOKUP(BP61,[1]Trav!$C$11:$O$31,$AU$105),0)</f>
        <v>14</v>
      </c>
      <c r="BQ107" s="190">
        <f>IF(BQ61&gt;0,HLOOKUP(BQ61,[1]Trav!$C$11:$O$31,$AU$105),0)</f>
        <v>14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282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5.25</v>
      </c>
      <c r="CV108" s="190">
        <f>IF(CV62&gt;0,HLOOKUP(CV62,[1]Trav!$C$11:$O$31,$CA$105),0)</f>
        <v>5.25</v>
      </c>
      <c r="CW108" s="190">
        <f>IF(CW62&gt;0,HLOOKUP(CW62,[1]Trav!$C$11:$O$31,$CA$105),0)</f>
        <v>5.25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205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205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4.9000000000000004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28</v>
      </c>
      <c r="BB117" s="173">
        <f t="shared" si="83"/>
        <v>28</v>
      </c>
      <c r="BC117" s="173">
        <f t="shared" si="83"/>
        <v>28</v>
      </c>
      <c r="BD117" s="173">
        <f t="shared" si="83"/>
        <v>28</v>
      </c>
      <c r="BE117" s="173">
        <f t="shared" si="83"/>
        <v>28</v>
      </c>
      <c r="BF117" s="173">
        <f t="shared" si="83"/>
        <v>28</v>
      </c>
      <c r="BG117" s="173">
        <f t="shared" si="83"/>
        <v>35</v>
      </c>
      <c r="BH117" s="173">
        <f t="shared" si="83"/>
        <v>35</v>
      </c>
      <c r="BI117" s="173">
        <f t="shared" si="83"/>
        <v>35</v>
      </c>
      <c r="BJ117" s="173">
        <f t="shared" si="83"/>
        <v>35</v>
      </c>
      <c r="BK117" s="173">
        <f t="shared" si="83"/>
        <v>35</v>
      </c>
      <c r="BL117" s="173">
        <f t="shared" si="83"/>
        <v>35</v>
      </c>
      <c r="BM117" s="173">
        <f t="shared" si="83"/>
        <v>35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22.75</v>
      </c>
      <c r="CU117" s="173">
        <f t="shared" si="84"/>
        <v>22.75</v>
      </c>
      <c r="CV117" s="173">
        <f t="shared" si="84"/>
        <v>29.75</v>
      </c>
      <c r="CW117" s="173">
        <f t="shared" si="84"/>
        <v>29.75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2994.391391304348</v>
      </c>
      <c r="D118" s="202">
        <f>B118/Troupeau!$B$17</f>
        <v>9.849971681922197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862.2</v>
      </c>
      <c r="D119" s="202">
        <f>IF(B119=0,0,B119/Troupeau!$C$17)</f>
        <v>45.378947368421052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3856.5913913043478</v>
      </c>
    </row>
    <row r="123" spans="1:132" x14ac:dyDescent="0.25">
      <c r="A123" s="2" t="s">
        <v>856</v>
      </c>
      <c r="B123" s="30">
        <f>B108</f>
        <v>282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205</v>
      </c>
    </row>
    <row r="126" spans="1:132" x14ac:dyDescent="0.25">
      <c r="A126" s="2" t="s">
        <v>872</v>
      </c>
      <c r="B126" s="30">
        <f>B114+B115+B116</f>
        <v>22.9</v>
      </c>
    </row>
    <row r="128" spans="1:132" x14ac:dyDescent="0.25">
      <c r="A128" s="2" t="s">
        <v>873</v>
      </c>
      <c r="B128" s="201">
        <f>SUM(B122:B126)</f>
        <v>4966.4913913043474</v>
      </c>
    </row>
    <row r="129" spans="1:2" x14ac:dyDescent="0.25">
      <c r="A129" s="2" t="s">
        <v>874</v>
      </c>
      <c r="B129" s="30">
        <f>IF(Scénario!K129=1,Travail!F77+Travail!F86,F86)</f>
        <v>518.5</v>
      </c>
    </row>
    <row r="130" spans="1:2" x14ac:dyDescent="0.25">
      <c r="A130" s="2" t="s">
        <v>875</v>
      </c>
      <c r="B130" s="201">
        <f>ROUND((B128-B129)/(Scénario!K4+Scénario!K6),0)</f>
        <v>2965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98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40280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42858</v>
      </c>
      <c r="K5" s="173">
        <f>ROUND(B5*F5/1000,0)</f>
        <v>42858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40280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139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11100</v>
      </c>
      <c r="K9" s="173">
        <f>ROUND(B9*F9,0)</f>
        <v>5414</v>
      </c>
      <c r="L9" s="173">
        <f t="shared" ref="L9:M16" si="5">ROUND(C9*G9,0)</f>
        <v>5686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70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4470</v>
      </c>
      <c r="K10" s="173">
        <f t="shared" ref="K10:K16" si="7">ROUND(B10*F10,0)</f>
        <v>2727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39</v>
      </c>
      <c r="U11" s="173">
        <f>Troupeau!C37</f>
        <v>4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39</v>
      </c>
      <c r="C13" s="173">
        <f>U11-C14</f>
        <v>4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5146</v>
      </c>
      <c r="K13" s="173">
        <f t="shared" si="7"/>
        <v>1034</v>
      </c>
      <c r="L13" s="173">
        <f t="shared" si="5"/>
        <v>4112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-1750</v>
      </c>
      <c r="K16" s="173">
        <f t="shared" si="7"/>
        <v>-1750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-9.8000000000000007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1.19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58.22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58.22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8.2199999999999989</v>
      </c>
      <c r="AC40" s="190">
        <f>[1]Eco!$B$34</f>
        <v>70</v>
      </c>
      <c r="AD40" s="173">
        <f t="shared" si="21"/>
        <v>575.39999999999986</v>
      </c>
      <c r="AE40" s="282">
        <f>IF($AJ$40=0,AB40*$AC$40,AD40*$AJ$40/100)</f>
        <v>575.39999999999986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14782.4</v>
      </c>
      <c r="AE41" s="283">
        <f>ROUND(SUM(AE38:AE40)*T25,0)</f>
        <v>14782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58.22</v>
      </c>
      <c r="C42" s="215">
        <f>[1]Eco!$B$24</f>
        <v>97</v>
      </c>
      <c r="J42" s="173">
        <f>B42*C42</f>
        <v>5647.34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58.22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3900.74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14782</v>
      </c>
      <c r="K45" s="173"/>
      <c r="L45" s="173"/>
      <c r="M45" s="173"/>
      <c r="N45" s="173"/>
      <c r="O45" s="210"/>
      <c r="U45" s="14" t="s">
        <v>990</v>
      </c>
      <c r="V45" s="173">
        <f>S55</f>
        <v>22.56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2893.6000000000004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58.22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23.149999999999995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23.149999999999995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102229.88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55.131999999999998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55.131999999999998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48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70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48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22.56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9.8000000000000007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1960.0000000000002</v>
      </c>
      <c r="K82" s="173">
        <f>$C82*D82</f>
        <v>1960.0000000000002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9.8000000000000007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15.9</v>
      </c>
      <c r="E92" s="173">
        <f t="shared" si="33"/>
        <v>0</v>
      </c>
      <c r="F92" s="173">
        <f t="shared" si="33"/>
        <v>0</v>
      </c>
      <c r="J92" s="173">
        <f t="shared" si="36"/>
        <v>6614.4000000000005</v>
      </c>
      <c r="K92" s="173">
        <f t="shared" si="37"/>
        <v>6614.4000000000005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2.9</v>
      </c>
      <c r="E94" s="173">
        <f t="shared" si="33"/>
        <v>0</v>
      </c>
      <c r="F94" s="173">
        <f t="shared" si="33"/>
        <v>0</v>
      </c>
      <c r="J94" s="173">
        <f t="shared" si="36"/>
        <v>893.19999999999993</v>
      </c>
      <c r="K94" s="173">
        <f t="shared" si="37"/>
        <v>893.19999999999993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7.3</v>
      </c>
      <c r="E95" s="173">
        <f t="shared" si="33"/>
        <v>0</v>
      </c>
      <c r="F95" s="173">
        <f t="shared" si="33"/>
        <v>0</v>
      </c>
      <c r="J95" s="173">
        <f t="shared" si="36"/>
        <v>1971</v>
      </c>
      <c r="K95" s="173">
        <f t="shared" si="37"/>
        <v>1971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5.5</v>
      </c>
      <c r="F96" s="173">
        <f t="shared" si="33"/>
        <v>0</v>
      </c>
      <c r="J96" s="173">
        <f t="shared" si="36"/>
        <v>1567.5</v>
      </c>
      <c r="K96" s="173">
        <f t="shared" si="37"/>
        <v>0</v>
      </c>
      <c r="L96" s="173">
        <f t="shared" si="34"/>
        <v>1567.5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2.2999999999999998</v>
      </c>
      <c r="F97" s="173">
        <f t="shared" si="33"/>
        <v>0</v>
      </c>
      <c r="J97" s="173">
        <f t="shared" si="36"/>
        <v>972.9</v>
      </c>
      <c r="K97" s="173">
        <f t="shared" si="37"/>
        <v>0</v>
      </c>
      <c r="L97" s="173">
        <f t="shared" si="34"/>
        <v>972.9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15.9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2.9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7.3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5.5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2.2999999999999998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4541</v>
      </c>
      <c r="K110" s="177">
        <f t="shared" ref="K110:K115" si="55">ROUND(T132*U132,0)</f>
        <v>2432</v>
      </c>
      <c r="L110" s="177">
        <f>ROUND(V132*W132,0)</f>
        <v>2109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11438.600000000002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8625</v>
      </c>
      <c r="K111" s="177">
        <f t="shared" si="55"/>
        <v>5718</v>
      </c>
      <c r="L111" s="177">
        <f>ROUND(V133*W133,0)</f>
        <v>2907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2540.4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1292</v>
      </c>
      <c r="K113" s="177">
        <f t="shared" si="55"/>
        <v>912</v>
      </c>
      <c r="L113" s="177">
        <f>ROUND(V135*W135,0)</f>
        <v>380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646</v>
      </c>
      <c r="K114" s="177">
        <f t="shared" si="55"/>
        <v>608</v>
      </c>
      <c r="L114" s="177">
        <f>ROUND(U136*V136,0)</f>
        <v>38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21108.600000000002</v>
      </c>
      <c r="L116" s="62">
        <f t="shared" ref="L116:M116" si="57">SUM(L110:L115)+SUM(L82:L106)</f>
        <v>7974.4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62.798999999999978</v>
      </c>
      <c r="C118" s="190">
        <f>IF(Scénario!$K$12="BV",[1]Eco!$B$78,IF(Scénario!$K$12="BL",[1]Eco!$B$77,[1]Eco!$B$76))</f>
        <v>223</v>
      </c>
      <c r="J118" s="173">
        <f>B118*C118</f>
        <v>14004.176999999996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50.379999999999995</v>
      </c>
      <c r="C119" s="190">
        <f>[1]Eco!$B$79</f>
        <v>80</v>
      </c>
      <c r="J119" s="173">
        <f>B119*C119</f>
        <v>4030.3999999999996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4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40.28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4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45.96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139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1345.5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70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8</v>
      </c>
      <c r="D132" s="190">
        <f>HLOOKUP(Troupeau!$J$17,[1]Anx!$D$170:$CN$186,'Calcul éco'!O132)</f>
        <v>27</v>
      </c>
      <c r="E132" s="236"/>
      <c r="F132" s="236"/>
      <c r="G132" s="18"/>
      <c r="J132" s="173">
        <f>D132*C132</f>
        <v>216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7.8999999999999995</v>
      </c>
      <c r="D133" s="190">
        <f>HLOOKUP(Troupeau!$J$17,[1]Anx!$D$170:$CN$186,'Calcul éco'!O133)</f>
        <v>46.62</v>
      </c>
      <c r="E133" s="236"/>
      <c r="F133" s="236"/>
      <c r="G133" s="18"/>
      <c r="J133" s="173">
        <f t="shared" ref="J133:J138" si="61">D133*C133</f>
        <v>368.29799999999994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18.809999999999999</v>
      </c>
      <c r="V133" s="171">
        <f>$U$127</f>
        <v>19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7.1</v>
      </c>
      <c r="D134" s="190">
        <f>HLOOKUP(Troupeau!$J$17,[1]Anx!$D$170:$CN$186,'Calcul éco'!O134)</f>
        <v>50.13</v>
      </c>
      <c r="E134" s="236"/>
      <c r="F134" s="236"/>
      <c r="G134" s="18"/>
      <c r="J134" s="173">
        <f t="shared" si="61"/>
        <v>355.923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88.92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2</v>
      </c>
      <c r="V136" s="171">
        <f>$U$127</f>
        <v>19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112.68</v>
      </c>
      <c r="E137" s="5"/>
      <c r="F137" s="5"/>
      <c r="G137" s="18"/>
      <c r="J137" s="173">
        <f t="shared" si="61"/>
        <v>563.40000000000009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69</v>
      </c>
      <c r="U137" s="190">
        <f>HLOOKUP($T$123,[1]Anx!$D$170:$CN$1177,$AB137)</f>
        <v>0</v>
      </c>
      <c r="V137" s="171">
        <f>Troupeau!C22</f>
        <v>4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175.5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39</v>
      </c>
      <c r="AG138" s="30">
        <f>C13</f>
        <v>4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2800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3617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388.53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53090.728000000003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4595.5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86.5</v>
      </c>
      <c r="D149" s="5"/>
      <c r="G149" s="171"/>
      <c r="J149" s="173">
        <f t="shared" ref="J149:J154" si="67">B149*C149</f>
        <v>2508.5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20</v>
      </c>
      <c r="X153" t="s">
        <v>52</v>
      </c>
      <c r="Y153" s="173">
        <f>W153-Scénario!K28</f>
        <v>-3.5</v>
      </c>
      <c r="Z153" s="173">
        <f>Y153-Y156</f>
        <v>-3.15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12.1</v>
      </c>
      <c r="X154" t="s">
        <v>52</v>
      </c>
      <c r="Y154" s="173">
        <f>W154-Scénario!K29</f>
        <v>-3.9000000000000004</v>
      </c>
      <c r="Z154" s="173">
        <f>Y154</f>
        <v>-3.9000000000000004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-0.35</v>
      </c>
      <c r="Z156" s="173">
        <f t="shared" si="68"/>
        <v>-0.35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-3.15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-114.03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-3.9000000000000004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-117.00000000000001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-0.35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-54.39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2.5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2.5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2.5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0</v>
      </c>
      <c r="T165" s="173">
        <f>VLOOKUP(R165,[1]MEP!$A$4:$M$300,13)</f>
        <v>2</v>
      </c>
      <c r="U165" s="173">
        <f t="shared" ref="U165:U207" si="72">IF($T165&gt;0,$S165,0)</f>
        <v>0</v>
      </c>
      <c r="V165" s="173">
        <f t="shared" ref="V165:V207" si="73">IF($T165&gt;1,$S165,0)</f>
        <v>0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0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0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0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336.4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3575.9320000000002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264</v>
      </c>
      <c r="S168" s="173">
        <f>Alim_Surf!R11</f>
        <v>0.6</v>
      </c>
      <c r="T168" s="173">
        <f>VLOOKUP(R168,[1]MEP!$A$4:$M$300,13)</f>
        <v>1</v>
      </c>
      <c r="U168" s="173">
        <f t="shared" si="72"/>
        <v>0.6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0.6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0.6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296</v>
      </c>
      <c r="S169" s="173">
        <f>Alim_Surf!R12</f>
        <v>3.5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3.5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3.5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33343.311999999998</v>
      </c>
      <c r="K170" s="62"/>
      <c r="L170" s="62"/>
      <c r="M170" s="62"/>
      <c r="N170" s="62"/>
      <c r="Q170">
        <v>7</v>
      </c>
      <c r="R170" s="173">
        <f>Alim_Surf!Q13</f>
        <v>253</v>
      </c>
      <c r="S170" s="173">
        <f>Alim_Surf!R13</f>
        <v>7.1</v>
      </c>
      <c r="T170" s="173">
        <f>VLOOKUP(R170,[1]MEP!$A$4:$M$300,13)</f>
        <v>2</v>
      </c>
      <c r="U170" s="173">
        <f t="shared" si="72"/>
        <v>7.1</v>
      </c>
      <c r="V170" s="173">
        <f t="shared" si="73"/>
        <v>7.1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7.1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7.1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15795.840000000004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10531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11400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638.69640800783895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3757.1435919921651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2505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2.2999999999999998</v>
      </c>
      <c r="T187" s="173">
        <f>VLOOKUP(R187,[1]MEP!$A$4:$M$300,13)</f>
        <v>1</v>
      </c>
      <c r="U187" s="173">
        <f t="shared" si="72"/>
        <v>2.2999999999999998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2.2999999999999998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2.2999999999999998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20</v>
      </c>
      <c r="V228" s="62">
        <f t="shared" ref="V228:W228" si="84">SUM(V164:V227)</f>
        <v>12.1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8</v>
      </c>
      <c r="AI228" s="62">
        <f t="shared" si="86"/>
        <v>7.8999999999999995</v>
      </c>
      <c r="AJ228" s="62">
        <f t="shared" si="86"/>
        <v>7.1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4317</v>
      </c>
      <c r="U234" t="s">
        <v>1101</v>
      </c>
      <c r="V234" s="173"/>
      <c r="W234" s="173">
        <f>[1]Protect!$B$4</f>
        <v>6</v>
      </c>
      <c r="X234" s="173">
        <f>T234*W234</f>
        <v>25902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25902</v>
      </c>
      <c r="Z237" s="30">
        <f>IF(Scénario!K84=1,MIN(0.8*'Calcul éco'!X237,[1]Protect!$B$68),IF(Scénario!K84=2,MIN(0.8*'Calcul éco'!X237,[1]Protect!$B$67),0))</f>
        <v>20721.600000000002</v>
      </c>
      <c r="AA237" s="30">
        <f>X237-Z237</f>
        <v>5180.3999999999978</v>
      </c>
      <c r="AB237" s="30">
        <f>(Scénario!K127/100)*AA237</f>
        <v>0</v>
      </c>
      <c r="AC237" s="30">
        <f>AA237-AB237</f>
        <v>5180.3999999999978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638.69640800783895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4</v>
      </c>
      <c r="X245" s="173">
        <f>ROUND((([1]Protect!$B$5/[1]Protect!$B$11)+[1]Protect!$B$8)*T245,0)</f>
        <v>3617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1117</v>
      </c>
      <c r="X248" s="173">
        <f>SUM(X245:X247)</f>
        <v>3617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3617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3">
        <f>IF(T256=0,0,[1]Protect!$B76)</f>
        <v>7500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64.754999999999995</v>
      </c>
      <c r="U272" s="173"/>
      <c r="V272" s="173"/>
      <c r="W272" s="173">
        <f>W234</f>
        <v>6</v>
      </c>
      <c r="X272" s="173">
        <f>T272*W272</f>
        <v>388.53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Z1_OLBV_T3PT_Ms3</v>
      </c>
      <c r="D1" s="275" t="str">
        <f>CONCATENATE(C1,"_corr")</f>
        <v>Z1_OLBV_T3PT_Ms3_corr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570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12</v>
      </c>
      <c r="D32" s="177">
        <f t="shared" si="0"/>
        <v>12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48</v>
      </c>
      <c r="D39" s="177">
        <f t="shared" si="0"/>
        <v>48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48</v>
      </c>
      <c r="D41" s="177">
        <f t="shared" si="0"/>
        <v>48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3</v>
      </c>
      <c r="D51" s="177">
        <f t="shared" si="0"/>
        <v>3</v>
      </c>
      <c r="E51" s="14"/>
    </row>
    <row r="52" spans="1:132" x14ac:dyDescent="0.25">
      <c r="B52" s="19" t="s">
        <v>596</v>
      </c>
      <c r="C52" s="177">
        <f>Scénario!K84</f>
        <v>1</v>
      </c>
      <c r="D52" s="177">
        <f t="shared" si="0"/>
        <v>1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20</v>
      </c>
      <c r="D85" s="261">
        <f>ROUND(C85*$D$82/$C$82,3)</f>
        <v>19.202000000000002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12.1</v>
      </c>
      <c r="D86" s="261">
        <f t="shared" ref="D86:D97" si="14">ROUND(C86*$D$82/$C$82,3)</f>
        <v>11.617000000000001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</v>
      </c>
      <c r="D88" s="261">
        <f t="shared" si="14"/>
        <v>1.92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3</v>
      </c>
      <c r="CC99" s="173">
        <f>IF(CdTrp2!C53=1,3,IF(CdTrp2!C53=0.5,2,IF(CdTrp2!C53=0,1,0)))</f>
        <v>3</v>
      </c>
      <c r="CD99" s="173">
        <f>IF(CdTrp2!D53=1,3,IF(CdTrp2!D53=0.5,2,IF(CdTrp2!D53=0,1,0)))</f>
        <v>1</v>
      </c>
      <c r="CE99" s="173">
        <f>IF(CdTrp2!E53=1,3,IF(CdTrp2!E53=0.5,2,IF(CdTrp2!E53=0,1,0)))</f>
        <v>1</v>
      </c>
      <c r="CF99" s="173">
        <f>IF(CdTrp2!F53=1,3,IF(CdTrp2!F53=0.5,2,IF(CdTrp2!F53=0,1,0)))</f>
        <v>1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3</v>
      </c>
      <c r="CY99" s="173">
        <f>IF(CdTrp2!Y53=1,3,IF(CdTrp2!Y53=0.5,2,IF(CdTrp2!Y53=0,1,0)))</f>
        <v>3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3</v>
      </c>
      <c r="AA105" s="30">
        <f>CdTrp2!U76</f>
        <v>3</v>
      </c>
      <c r="AB105" s="30">
        <f>CdTrp2!V76</f>
        <v>3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1</v>
      </c>
      <c r="K106" s="30">
        <f>CdTrp2!E77</f>
        <v>1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3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3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48.5</v>
      </c>
      <c r="D109" s="173">
        <f t="shared" si="25"/>
        <v>48.5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1</v>
      </c>
      <c r="BH109" s="173">
        <v>2</v>
      </c>
      <c r="BI109" s="173">
        <f>IF(CdTrp1!O76=1,1,IF(CdTrp1!O76=2,2,IF(CdTrp1!O76=3,2,IF(CdTrp1!O76=4,4,0))))</f>
        <v>1</v>
      </c>
      <c r="BJ109" s="173">
        <f>IF(CdTrp1!P76=1,1,IF(CdTrp1!P76=2,2,IF(CdTrp1!P76=3,2,IF(CdTrp1!P76=4,4,0))))</f>
        <v>1</v>
      </c>
      <c r="BK109" s="173">
        <f>IF(CdTrp1!Q76=1,1,IF(CdTrp1!Q76=2,2,IF(CdTrp1!Q76=3,2,IF(CdTrp1!Q76=4,4,0))))</f>
        <v>1</v>
      </c>
      <c r="BL109" s="173">
        <f>IF(CdTrp1!R76=1,1,IF(CdTrp1!R76=2,2,IF(CdTrp1!R76=3,2,IF(CdTrp1!R76=4,4,0))))</f>
        <v>1</v>
      </c>
      <c r="BM109" s="173">
        <f>IF(CdTrp1!S76=1,1,IF(CdTrp1!S76=2,2,IF(CdTrp1!S76=3,2,IF(CdTrp1!S76=4,4,0))))</f>
        <v>1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20.5</v>
      </c>
      <c r="D110" s="173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1</v>
      </c>
      <c r="AW110" s="173">
        <f>IF(CdTrp1!C77=1,1,IF(CdTrp1!C77=2,2,IF(CdTrp1!C77=3,2,IF(CdTrp1!C77=4,4,0))))</f>
        <v>1</v>
      </c>
      <c r="AX110" s="173">
        <f>IF(CdTrp1!D77=1,1,IF(CdTrp1!D77=2,2,IF(CdTrp1!D77=3,2,IF(CdTrp1!D77=4,4,0))))</f>
        <v>1</v>
      </c>
      <c r="AY110" s="173">
        <f>IF(CdTrp1!E77=1,1,IF(CdTrp1!E77=2,2,IF(CdTrp1!E77=3,2,IF(CdTrp1!E77=4,4,0))))</f>
        <v>1</v>
      </c>
      <c r="AZ110" s="173">
        <f>IF(CdTrp1!F77=1,1,IF(CdTrp1!F77=2,2,IF(CdTrp1!F77=3,2,IF(CdTrp1!F77=4,4,0))))</f>
        <v>1</v>
      </c>
      <c r="BA110" s="173">
        <f>IF(CdTrp1!G77=1,1,IF(CdTrp1!G77=2,2,IF(CdTrp1!G77=3,2,IF(CdTrp1!G77=4,4,0))))</f>
        <v>1</v>
      </c>
      <c r="BB110" s="173">
        <f>IF(CdTrp1!H77=1,1,IF(CdTrp1!H77=2,2,IF(CdTrp1!H77=3,2,IF(CdTrp1!H77=4,4,0))))</f>
        <v>1</v>
      </c>
      <c r="BC110" s="173">
        <f>IF(CdTrp1!I77=1,1,IF(CdTrp1!I77=2,2,IF(CdTrp1!I77=3,2,IF(CdTrp1!I77=4,4,0))))</f>
        <v>1</v>
      </c>
      <c r="BD110" s="173">
        <f>IF(CdTrp1!J77=1,1,IF(CdTrp1!J77=2,2,IF(CdTrp1!J77=3,2,IF(CdTrp1!J77=4,4,0))))</f>
        <v>1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1</v>
      </c>
      <c r="BP110" s="173">
        <f>IF(CdTrp1!V77=1,1,IF(CdTrp1!V77=2,2,IF(CdTrp1!V77=3,2,IF(CdTrp1!V77=4,4,0))))</f>
        <v>1</v>
      </c>
      <c r="BQ110" s="173">
        <f>IF(CdTrp1!W77=1,1,IF(CdTrp1!W77=2,2,IF(CdTrp1!W77=3,2,IF(CdTrp1!W77=4,4,0))))</f>
        <v>1</v>
      </c>
      <c r="BR110" s="173">
        <f>IF(CdTrp1!X77=1,1,IF(CdTrp1!X77=2,2,IF(CdTrp1!X77=3,2,IF(CdTrp1!X77=4,4,0))))</f>
        <v>1</v>
      </c>
      <c r="BS110" s="173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1</v>
      </c>
      <c r="CE110" s="173">
        <f>IF(CdTrp2!E77=1,1,IF(CdTrp2!E77=2,2,IF(CdTrp2!E77=3,2,IF(CdTrp2!E77=4,4,0))))</f>
        <v>1</v>
      </c>
      <c r="CF110" s="173">
        <f>IF(CdTrp2!F77=1,1,IF(CdTrp2!F77=2,2,IF(CdTrp2!F77=3,2,IF(CdTrp2!F77=4,4,0))))</f>
        <v>1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10.5</v>
      </c>
      <c r="D111" s="173">
        <f t="shared" si="25"/>
        <v>10.5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2</v>
      </c>
      <c r="CV111" s="173">
        <f>IF(CdTrp2!V78=1,1,IF(CdTrp2!V78=2,2,IF(CdTrp2!V78=3,2,IF(CdTrp2!V78=4,4,0))))</f>
        <v>2</v>
      </c>
      <c r="CW111" s="173">
        <f>IF(CdTrp2!W78=1,1,IF(CdTrp2!W78=2,2,IF(CdTrp2!W78=3,2,IF(CdTrp2!W78=4,4,0))))</f>
        <v>2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10</v>
      </c>
      <c r="D114" s="173">
        <f t="shared" si="25"/>
        <v>10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3.5</v>
      </c>
      <c r="D117" s="173">
        <f t="shared" si="25"/>
        <v>3.5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211</v>
      </c>
      <c r="BH121" s="173">
        <f>IF(BH75=0,0,IF(BH98=3,0,VALUE(CONCATENATE(Travail!BH26,Travail!BH37,Travail!BH48))))</f>
        <v>211</v>
      </c>
      <c r="BI121" s="173">
        <f>IF(BI75=0,0,IF(BI98=3,0,VALUE(CONCATENATE(Travail!BI26,Travail!BI37,Travail!BI48))))</f>
        <v>211</v>
      </c>
      <c r="BJ121" s="173">
        <f>IF(BJ75=0,0,IF(BJ98=3,0,VALUE(CONCATENATE(Travail!BJ26,Travail!BJ37,Travail!BJ48))))</f>
        <v>211</v>
      </c>
      <c r="BK121" s="173">
        <f>IF(BK75=0,0,IF(BK98=3,0,VALUE(CONCATENATE(Travail!BK26,Travail!BK37,Travail!BK48))))</f>
        <v>211</v>
      </c>
      <c r="BL121" s="173">
        <f>IF(BL75=0,0,IF(BL98=3,0,VALUE(CONCATENATE(Travail!BL26,Travail!BL37,Travail!BL48))))</f>
        <v>211</v>
      </c>
      <c r="BM121" s="173">
        <f>IF(BM75=0,0,IF(BM98=3,0,VALUE(CONCATENATE(Travail!BM26,Travail!BM37,Travail!BM48))))</f>
        <v>211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0</v>
      </c>
      <c r="D122" s="173">
        <f t="shared" si="25"/>
        <v>0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221</v>
      </c>
      <c r="AW122" s="173">
        <f>IF(AW76=0,0,IF(AW99=3,0,VALUE(CONCATENATE(Travail!AW27,Travail!AW38,Travail!AW49))))</f>
        <v>221</v>
      </c>
      <c r="AX122" s="173">
        <f>IF(AX76=0,0,IF(AX99=3,0,VALUE(CONCATENATE(Travail!AX27,Travail!AX38,Travail!AX49))))</f>
        <v>221</v>
      </c>
      <c r="AY122" s="173">
        <f>IF(AY76=0,0,IF(AY99=3,0,VALUE(CONCATENATE(Travail!AY27,Travail!AY38,Travail!AY49))))</f>
        <v>221</v>
      </c>
      <c r="AZ122" s="173">
        <f>IF(AZ76=0,0,IF(AZ99=3,0,VALUE(CONCATENATE(Travail!AZ27,Travail!AZ38,Travail!AZ49))))</f>
        <v>221</v>
      </c>
      <c r="BA122" s="173">
        <f>IF(BA76=0,0,IF(BA99=3,0,VALUE(CONCATENATE(Travail!BA27,Travail!BA38,Travail!BA49))))</f>
        <v>221</v>
      </c>
      <c r="BB122" s="173">
        <f>IF(BB76=0,0,IF(BB99=3,0,VALUE(CONCATENATE(Travail!BB27,Travail!BB38,Travail!BB49))))</f>
        <v>221</v>
      </c>
      <c r="BC122" s="173">
        <f>IF(BC76=0,0,IF(BC99=3,0,VALUE(CONCATENATE(Travail!BC27,Travail!BC38,Travail!BC49))))</f>
        <v>221</v>
      </c>
      <c r="BD122" s="173">
        <f>IF(BD76=0,0,IF(BD99=3,0,VALUE(CONCATENATE(Travail!BD27,Travail!BD38,Travail!BD49))))</f>
        <v>221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221</v>
      </c>
      <c r="BP122" s="173">
        <f>IF(BP76=0,0,IF(BP99=3,0,VALUE(CONCATENATE(Travail!BP27,Travail!BP38,Travail!BP49))))</f>
        <v>221</v>
      </c>
      <c r="BQ122" s="173">
        <f>IF(BQ76=0,0,IF(BQ99=3,0,VALUE(CONCATENATE(Travail!BQ27,Travail!BQ38,Travail!BQ49))))</f>
        <v>221</v>
      </c>
      <c r="BR122" s="173">
        <f>IF(BR76=0,0,IF(BR99=3,0,VALUE(CONCATENATE(Travail!BR27,Travail!BR38,Travail!BR49))))</f>
        <v>221</v>
      </c>
      <c r="BS122" s="173">
        <f>IF(BS76=0,0,IF(BS99=3,0,VALUE(CONCATENATE(Travail!BS27,Travail!BS38,Travail!BS49))))</f>
        <v>221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112</v>
      </c>
      <c r="CV123" s="173">
        <f>IF(CV77=0,0,VALUE(CONCATENATE(Travail!CV28,Travail!CV39,Travail!CV50)))</f>
        <v>112</v>
      </c>
      <c r="CW123" s="173">
        <f>IF(CW77=0,0,VALUE(CONCATENATE(Travail!CW28,Travail!CW39,Travail!CW50)))</f>
        <v>112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0</v>
      </c>
      <c r="D125" s="173">
        <f t="shared" si="25"/>
        <v>0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1</v>
      </c>
      <c r="D133" s="262">
        <f t="shared" si="25"/>
        <v>1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0.4375</v>
      </c>
      <c r="D134" s="262">
        <f t="shared" si="25"/>
        <v>0.4375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0.6966292134831461</v>
      </c>
      <c r="D136" s="262">
        <f t="shared" si="25"/>
        <v>0.6966292134831461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209</v>
      </c>
      <c r="D137" s="263">
        <f>C137*$D$82/$C$82</f>
        <v>200.66084788029926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39</v>
      </c>
      <c r="D138" s="263">
        <f t="shared" ref="D138:D174" si="50">C138*$D$82/$C$82</f>
        <v>37.443890274314214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9</v>
      </c>
      <c r="D142" s="263">
        <f t="shared" si="50"/>
        <v>8.6408977556109718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4</v>
      </c>
      <c r="D143" s="263">
        <f t="shared" si="50"/>
        <v>3.8403990024937653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2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40280</v>
      </c>
      <c r="D148" s="263">
        <f t="shared" si="50"/>
        <v>38672.817955112216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24.1110267808739</v>
      </c>
      <c r="AW152" s="173">
        <f t="shared" si="74"/>
        <v>24.1110267808739</v>
      </c>
      <c r="AX152" s="173">
        <f t="shared" si="74"/>
        <v>24.1110267808739</v>
      </c>
      <c r="AY152" s="173">
        <f t="shared" si="74"/>
        <v>24.1110267808739</v>
      </c>
      <c r="AZ152" s="173">
        <f t="shared" si="74"/>
        <v>24.1110267808739</v>
      </c>
      <c r="BA152" s="173">
        <f t="shared" si="74"/>
        <v>24.1110267808739</v>
      </c>
      <c r="BB152" s="173">
        <f t="shared" si="74"/>
        <v>24.1110267808739</v>
      </c>
      <c r="BC152" s="173">
        <f t="shared" si="74"/>
        <v>24.1110267808739</v>
      </c>
      <c r="BD152" s="173">
        <f t="shared" si="74"/>
        <v>24.1110267808739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24.1110267808739</v>
      </c>
      <c r="BP152" s="173">
        <f t="shared" si="74"/>
        <v>24.1110267808739</v>
      </c>
      <c r="BQ152" s="173">
        <f t="shared" si="74"/>
        <v>24.1110267808739</v>
      </c>
      <c r="BR152" s="173">
        <f t="shared" si="74"/>
        <v>24.1110267808739</v>
      </c>
      <c r="BS152" s="173">
        <f t="shared" si="74"/>
        <v>24.1110267808739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4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7.6140084571180742</v>
      </c>
      <c r="AW154" s="173">
        <f t="shared" si="74"/>
        <v>7.6140084571180742</v>
      </c>
      <c r="AX154" s="173">
        <f t="shared" si="74"/>
        <v>7.6140084571180742</v>
      </c>
      <c r="AY154" s="173">
        <f t="shared" si="74"/>
        <v>7.6140084571180742</v>
      </c>
      <c r="AZ154" s="173">
        <f t="shared" si="74"/>
        <v>7.6140084571180742</v>
      </c>
      <c r="BA154" s="173">
        <f t="shared" si="74"/>
        <v>7.6140084571180742</v>
      </c>
      <c r="BB154" s="173">
        <f t="shared" si="74"/>
        <v>7.6140084571180742</v>
      </c>
      <c r="BC154" s="173">
        <f t="shared" si="74"/>
        <v>7.6140084571180742</v>
      </c>
      <c r="BD154" s="173">
        <f t="shared" si="74"/>
        <v>7.6140084571180742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7.6140084571180742</v>
      </c>
      <c r="BP154" s="173">
        <f t="shared" si="74"/>
        <v>7.6140084571180742</v>
      </c>
      <c r="BQ154" s="173">
        <f t="shared" si="74"/>
        <v>7.6140084571180742</v>
      </c>
      <c r="BR154" s="173">
        <f t="shared" si="74"/>
        <v>7.6140084571180742</v>
      </c>
      <c r="BS154" s="173">
        <f t="shared" si="74"/>
        <v>7.6140084571180742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351.51339043695106</v>
      </c>
      <c r="AW160" s="62">
        <f t="shared" ref="AW160:BS160" si="83">SUM(AW151:AW159)</f>
        <v>348.97538761791174</v>
      </c>
      <c r="AX160" s="62">
        <f t="shared" si="83"/>
        <v>346.43738479887236</v>
      </c>
      <c r="AY160" s="62">
        <f t="shared" si="83"/>
        <v>345.1683833893527</v>
      </c>
      <c r="AZ160" s="62">
        <f t="shared" si="83"/>
        <v>343.89938197983298</v>
      </c>
      <c r="BA160" s="62">
        <f t="shared" si="83"/>
        <v>342.63038057031332</v>
      </c>
      <c r="BB160" s="62">
        <f t="shared" si="83"/>
        <v>341.36137916079366</v>
      </c>
      <c r="BC160" s="62">
        <f t="shared" si="83"/>
        <v>340.09237775127394</v>
      </c>
      <c r="BD160" s="62">
        <f t="shared" si="83"/>
        <v>337.55437493223462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299.48433264664425</v>
      </c>
      <c r="BP160" s="62">
        <f t="shared" si="83"/>
        <v>299.48433264664425</v>
      </c>
      <c r="BQ160" s="62">
        <f t="shared" si="83"/>
        <v>351.51339043695106</v>
      </c>
      <c r="BR160" s="62">
        <f t="shared" si="83"/>
        <v>351.51339043695106</v>
      </c>
      <c r="BS160" s="62">
        <f t="shared" si="83"/>
        <v>351.51339043695106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84.089275619269515</v>
      </c>
      <c r="D161" s="263">
        <f t="shared" si="50"/>
        <v>80.734092552166487</v>
      </c>
      <c r="AT161" s="189" t="s">
        <v>844</v>
      </c>
      <c r="AV161" s="173">
        <f>IF($AT$62="OL",AV160/50,AV160/10)</f>
        <v>7.0302678087390209</v>
      </c>
      <c r="AW161" s="173">
        <f t="shared" ref="AW161:BS161" si="86">IF($AT$62="OL",AW160/50,AW160/10)</f>
        <v>6.9795077523582343</v>
      </c>
      <c r="AX161" s="173">
        <f t="shared" si="86"/>
        <v>6.9287476959774468</v>
      </c>
      <c r="AY161" s="173">
        <f t="shared" si="86"/>
        <v>6.9033676677870544</v>
      </c>
      <c r="AZ161" s="173">
        <f t="shared" si="86"/>
        <v>6.8779876395966593</v>
      </c>
      <c r="BA161" s="173">
        <f t="shared" si="86"/>
        <v>6.8526076114062668</v>
      </c>
      <c r="BB161" s="173">
        <f t="shared" si="86"/>
        <v>6.8272275832158735</v>
      </c>
      <c r="BC161" s="173">
        <f t="shared" si="86"/>
        <v>6.8018475550254784</v>
      </c>
      <c r="BD161" s="173">
        <f t="shared" si="86"/>
        <v>6.7510874986446927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5.9896866529328854</v>
      </c>
      <c r="BP161" s="173">
        <f t="shared" si="86"/>
        <v>5.9896866529328854</v>
      </c>
      <c r="BQ161" s="173">
        <f t="shared" si="86"/>
        <v>7.0302678087390209</v>
      </c>
      <c r="BR161" s="173">
        <f t="shared" si="86"/>
        <v>7.0302678087390209</v>
      </c>
      <c r="BS161" s="173">
        <f t="shared" si="86"/>
        <v>7.0302678087390209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132.67114062958612</v>
      </c>
      <c r="D162" s="263">
        <f t="shared" si="50"/>
        <v>127.37752903339315</v>
      </c>
      <c r="AT162" s="189" t="s">
        <v>846</v>
      </c>
      <c r="AV162" s="173">
        <f>IF(AV161&gt;1,AV161-1,0)</f>
        <v>6.0302678087390209</v>
      </c>
      <c r="AW162" s="173">
        <f t="shared" ref="AW162:BS162" si="89">IF(AW161&gt;1,AW161-1,0)</f>
        <v>5.9795077523582343</v>
      </c>
      <c r="AX162" s="173">
        <f t="shared" si="89"/>
        <v>5.9287476959774468</v>
      </c>
      <c r="AY162" s="173">
        <f t="shared" si="89"/>
        <v>5.9033676677870544</v>
      </c>
      <c r="AZ162" s="173">
        <f t="shared" si="89"/>
        <v>5.8779876395966593</v>
      </c>
      <c r="BA162" s="173">
        <f t="shared" si="89"/>
        <v>5.8526076114062668</v>
      </c>
      <c r="BB162" s="173">
        <f t="shared" si="89"/>
        <v>5.8272275832158735</v>
      </c>
      <c r="BC162" s="173">
        <f t="shared" si="89"/>
        <v>5.8018475550254784</v>
      </c>
      <c r="BD162" s="173">
        <f t="shared" si="89"/>
        <v>5.7510874986446927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4.9896866529328854</v>
      </c>
      <c r="BP162" s="173">
        <f t="shared" si="89"/>
        <v>4.9896866529328854</v>
      </c>
      <c r="BQ162" s="173">
        <f t="shared" si="89"/>
        <v>6.0302678087390209</v>
      </c>
      <c r="BR162" s="173">
        <f t="shared" si="89"/>
        <v>6.0302678087390209</v>
      </c>
      <c r="BS162" s="173">
        <f t="shared" si="89"/>
        <v>6.0302678087390209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52.552968665293285</v>
      </c>
      <c r="AW163" s="62">
        <f t="shared" ref="AW163:BS163" si="92">AW147+AW148*AW162</f>
        <v>52.464138566626914</v>
      </c>
      <c r="AX163" s="62">
        <f t="shared" si="92"/>
        <v>52.375308467960529</v>
      </c>
      <c r="AY163" s="62">
        <f t="shared" si="92"/>
        <v>52.330893418627348</v>
      </c>
      <c r="AZ163" s="62">
        <f t="shared" si="92"/>
        <v>52.286478369294151</v>
      </c>
      <c r="BA163" s="62">
        <f t="shared" si="92"/>
        <v>52.242063319960963</v>
      </c>
      <c r="BB163" s="62">
        <f t="shared" si="92"/>
        <v>52.197648270627781</v>
      </c>
      <c r="BC163" s="62">
        <f t="shared" si="92"/>
        <v>52.153233221294585</v>
      </c>
      <c r="BD163" s="62">
        <f t="shared" si="92"/>
        <v>52.064403122628214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50.731951642632552</v>
      </c>
      <c r="BP163" s="62">
        <f t="shared" si="92"/>
        <v>50.731951642632552</v>
      </c>
      <c r="BQ163" s="62">
        <f t="shared" si="92"/>
        <v>52.552968665293285</v>
      </c>
      <c r="BR163" s="62">
        <f t="shared" si="92"/>
        <v>52.552968665293285</v>
      </c>
      <c r="BS163" s="62">
        <f t="shared" si="92"/>
        <v>52.552968665293285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37.419010456239995</v>
      </c>
      <c r="D166" s="263">
        <f t="shared" si="50"/>
        <v>35.925982607611964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21</v>
      </c>
      <c r="BH167" s="190">
        <f>IF(BH121&gt;0,HLOOKUP(BH121,[1]Trav!$C$11:$O$31,$AU$166),0)</f>
        <v>21</v>
      </c>
      <c r="BI167" s="190">
        <f>IF(BI121&gt;0,HLOOKUP(BI121,[1]Trav!$C$11:$O$31,$AU$166),0)</f>
        <v>21</v>
      </c>
      <c r="BJ167" s="190">
        <f>IF(BJ121&gt;0,HLOOKUP(BJ121,[1]Trav!$C$11:$O$31,$AU$166),0)</f>
        <v>21</v>
      </c>
      <c r="BK167" s="190">
        <f>IF(BK121&gt;0,HLOOKUP(BK121,[1]Trav!$C$11:$O$31,$AU$166),0)</f>
        <v>21</v>
      </c>
      <c r="BL167" s="190">
        <f>IF(BL121&gt;0,HLOOKUP(BL121,[1]Trav!$C$11:$O$31,$AU$166),0)</f>
        <v>21</v>
      </c>
      <c r="BM167" s="190">
        <f>IF(BM121&gt;0,HLOOKUP(BM121,[1]Trav!$C$11:$O$31,$AU$166),0)</f>
        <v>21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14</v>
      </c>
      <c r="AW168" s="190">
        <f>IF(AW122&gt;0,HLOOKUP(AW122,[1]Trav!$C$11:$O$31,$AU$166),0)</f>
        <v>14</v>
      </c>
      <c r="AX168" s="190">
        <f>IF(AX122&gt;0,HLOOKUP(AX122,[1]Trav!$C$11:$O$31,$AU$166),0)</f>
        <v>14</v>
      </c>
      <c r="AY168" s="190">
        <f>IF(AY122&gt;0,HLOOKUP(AY122,[1]Trav!$C$11:$O$31,$AU$166),0)</f>
        <v>14</v>
      </c>
      <c r="AZ168" s="190">
        <f>IF(AZ122&gt;0,HLOOKUP(AZ122,[1]Trav!$C$11:$O$31,$AU$166),0)</f>
        <v>14</v>
      </c>
      <c r="BA168" s="190">
        <f>IF(BA122&gt;0,HLOOKUP(BA122,[1]Trav!$C$11:$O$31,$AU$166),0)</f>
        <v>14</v>
      </c>
      <c r="BB168" s="190">
        <f>IF(BB122&gt;0,HLOOKUP(BB122,[1]Trav!$C$11:$O$31,$AU$166),0)</f>
        <v>14</v>
      </c>
      <c r="BC168" s="190">
        <f>IF(BC122&gt;0,HLOOKUP(BC122,[1]Trav!$C$11:$O$31,$AU$166),0)</f>
        <v>14</v>
      </c>
      <c r="BD168" s="190">
        <f>IF(BD122&gt;0,HLOOKUP(BD122,[1]Trav!$C$11:$O$31,$AU$166),0)</f>
        <v>14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14</v>
      </c>
      <c r="BP168" s="190">
        <f>IF(BP122&gt;0,HLOOKUP(BP122,[1]Trav!$C$11:$O$31,$AU$166),0)</f>
        <v>14</v>
      </c>
      <c r="BQ168" s="190">
        <f>IF(BQ122&gt;0,HLOOKUP(BQ122,[1]Trav!$C$11:$O$31,$AU$166),0)</f>
        <v>14</v>
      </c>
      <c r="BR168" s="190">
        <f>IF(BR122&gt;0,HLOOKUP(BR122,[1]Trav!$C$11:$O$31,$AU$166),0)</f>
        <v>14</v>
      </c>
      <c r="BS168" s="190">
        <f>IF(BS122&gt;0,HLOOKUP(BS122,[1]Trav!$C$11:$O$31,$AU$166),0)</f>
        <v>14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159.03699999999998</v>
      </c>
      <c r="D169" s="263">
        <f t="shared" si="50"/>
        <v>152.69138403990021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7</v>
      </c>
      <c r="CV169" s="190">
        <f>IF(CV123&gt;0,HLOOKUP(CV123,[1]Trav!$C$11:$O$31,$AU$166),0)</f>
        <v>7</v>
      </c>
      <c r="CW169" s="190">
        <f>IF(CW123&gt;0,HLOOKUP(CW123,[1]Trav!$C$11:$O$31,$AU$166),0)</f>
        <v>7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123.92638257926959</v>
      </c>
      <c r="D170" s="263">
        <f t="shared" si="50"/>
        <v>118.98168901002191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95.40100000000001</v>
      </c>
      <c r="D171" s="263">
        <f t="shared" si="50"/>
        <v>91.594476309226934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158.19999999999999</v>
      </c>
      <c r="D172" s="263">
        <f t="shared" si="50"/>
        <v>151.88778054862843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35.110617420730392</v>
      </c>
      <c r="D173" s="263">
        <f t="shared" si="50"/>
        <v>33.709695029878304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77.900000000000006</v>
      </c>
      <c r="D174" s="263">
        <f t="shared" si="50"/>
        <v>74.791770573566083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-62.798999999999978</v>
      </c>
      <c r="D175" s="263">
        <f>C175*$D$82/$C$82</f>
        <v>-60.293304239401472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62.798999999999978</v>
      </c>
      <c r="D176" s="263">
        <f>C176*$D$82/$C$82</f>
        <v>60.293304239401472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78</v>
      </c>
      <c r="D178" s="173">
        <f>ROUND((D170+D171)/(D170+D172),2)*100</f>
        <v>78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28</v>
      </c>
      <c r="BB178" s="173">
        <f t="shared" si="98"/>
        <v>28</v>
      </c>
      <c r="BC178" s="173">
        <f t="shared" si="98"/>
        <v>28</v>
      </c>
      <c r="BD178" s="173">
        <f t="shared" si="98"/>
        <v>28</v>
      </c>
      <c r="BE178" s="173">
        <f t="shared" si="98"/>
        <v>28</v>
      </c>
      <c r="BF178" s="173">
        <f t="shared" si="98"/>
        <v>28</v>
      </c>
      <c r="BG178" s="173">
        <f t="shared" si="98"/>
        <v>35</v>
      </c>
      <c r="BH178" s="173">
        <f t="shared" si="98"/>
        <v>35</v>
      </c>
      <c r="BI178" s="173">
        <f t="shared" si="98"/>
        <v>35</v>
      </c>
      <c r="BJ178" s="173">
        <f t="shared" si="98"/>
        <v>35</v>
      </c>
      <c r="BK178" s="173">
        <f t="shared" si="98"/>
        <v>35</v>
      </c>
      <c r="BL178" s="173">
        <f t="shared" si="98"/>
        <v>35</v>
      </c>
      <c r="BM178" s="173">
        <f t="shared" si="98"/>
        <v>35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49</v>
      </c>
      <c r="CU178" s="173">
        <f t="shared" si="99"/>
        <v>49</v>
      </c>
      <c r="CV178" s="173">
        <f t="shared" si="99"/>
        <v>42</v>
      </c>
      <c r="CW178" s="173">
        <f t="shared" si="99"/>
        <v>42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43.699999999999996</v>
      </c>
      <c r="D179" s="263">
        <f>C179*$D$82/$C$82</f>
        <v>41.956359102244384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4317</v>
      </c>
      <c r="D183" s="264">
        <f>ROUND(D184*D185,0)</f>
        <v>4147</v>
      </c>
      <c r="E183" s="17" t="s">
        <v>1295</v>
      </c>
    </row>
    <row r="184" spans="1:132" x14ac:dyDescent="0.25">
      <c r="B184" s="14" t="s">
        <v>1296</v>
      </c>
      <c r="C184" s="173">
        <f>Protection!AK26</f>
        <v>18.7</v>
      </c>
      <c r="D184" s="265">
        <f>C184*D82/C82</f>
        <v>17.953865336658353</v>
      </c>
    </row>
    <row r="185" spans="1:132" x14ac:dyDescent="0.25">
      <c r="B185" s="14" t="s">
        <v>1297</v>
      </c>
      <c r="C185" s="173">
        <f>IF(C183=0,0,ROUND(C183/C184,0))</f>
        <v>231</v>
      </c>
      <c r="D185" s="173">
        <f>C185</f>
        <v>231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4</v>
      </c>
      <c r="D189" s="173">
        <f t="shared" si="101"/>
        <v>4</v>
      </c>
      <c r="AH189" s="15"/>
      <c r="AJ189" s="14" t="s">
        <v>1114</v>
      </c>
      <c r="AK189" s="30">
        <f>D189</f>
        <v>4</v>
      </c>
      <c r="AO189" s="173">
        <f>ROUND((([1]Protect!$B$5/[1]Protect!$B$11)+[1]Protect!$B$8)*AK189,0)</f>
        <v>3617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25.6</v>
      </c>
      <c r="D191" s="173">
        <f>C191</f>
        <v>25.6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1307</v>
      </c>
      <c r="C192" s="173">
        <f>(Travail!F83+Travail!F84)/8</f>
        <v>0.61250000000000004</v>
      </c>
      <c r="D192" s="266">
        <f>ROUND((D183/1000)*([1]Protect!$B$25*8/10+[1]Protect!$B$26),2)/8</f>
        <v>0.58625000000000005</v>
      </c>
      <c r="E192" s="17" t="s">
        <v>1308</v>
      </c>
      <c r="I192" s="5"/>
      <c r="AN192" s="14" t="s">
        <v>1117</v>
      </c>
      <c r="AO192" s="173">
        <f>SUM(AO189:AO191)</f>
        <v>3617</v>
      </c>
    </row>
    <row r="193" spans="1:43" x14ac:dyDescent="0.25">
      <c r="B193" s="14" t="s">
        <v>1309</v>
      </c>
      <c r="C193" s="173">
        <f>(Travail!F75+Travail!F76+Travail!F81)/8</f>
        <v>15.8125</v>
      </c>
      <c r="D193" s="173">
        <f>C193</f>
        <v>15.8125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61917</v>
      </c>
      <c r="D194" s="261">
        <f>ROUND(C194*D$82/C$82,0)</f>
        <v>59446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42858</v>
      </c>
      <c r="D195" s="261">
        <f t="shared" ref="D195:D200" si="102">ROUND(C195*D$82/C$82,0)</f>
        <v>41148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11018</v>
      </c>
      <c r="D197" s="261">
        <f t="shared" si="102"/>
        <v>10578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11542</v>
      </c>
      <c r="D199" s="261">
        <f t="shared" si="102"/>
        <v>11081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1</v>
      </c>
      <c r="AK200" s="173">
        <f>IF(AJ200=0,0,[1]Protect!B76)</f>
        <v>7500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5647</v>
      </c>
      <c r="D206" s="261">
        <f>ROUND(C206*D$82/C$82,0)</f>
        <v>5422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3617</v>
      </c>
      <c r="AQ207" s="5"/>
    </row>
    <row r="208" spans="1:43" x14ac:dyDescent="0.25">
      <c r="B208" s="211" t="s">
        <v>987</v>
      </c>
      <c r="C208" s="173">
        <f>ROUND('Calcul éco'!J44,0)</f>
        <v>3901</v>
      </c>
      <c r="D208" s="261">
        <f>ROUND(C208*D$82/C$82,0)</f>
        <v>3745</v>
      </c>
      <c r="S208" s="14" t="s">
        <v>978</v>
      </c>
      <c r="T208" s="30">
        <f>L212</f>
        <v>55.897050374064833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3617</v>
      </c>
      <c r="AQ208" s="245"/>
    </row>
    <row r="209" spans="1:43" x14ac:dyDescent="0.25">
      <c r="B209" s="19" t="s">
        <v>989</v>
      </c>
      <c r="C209" s="173">
        <f>ROUND('Calcul éco'!J45,0)</f>
        <v>14782</v>
      </c>
      <c r="D209" s="264">
        <f>IF(Scénario!K9=0,0,ROUND(Z210,0))</f>
        <v>14620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5.8970503740648326</v>
      </c>
      <c r="Y209" s="190">
        <f>[1]Eco!$B$34</f>
        <v>70</v>
      </c>
      <c r="Z209" s="173">
        <f t="shared" si="105"/>
        <v>412.79352618453828</v>
      </c>
      <c r="AF209" s="5"/>
      <c r="AK209" s="14" t="s">
        <v>1135</v>
      </c>
      <c r="AL209" s="173">
        <f>IF(AO192&lt;SUM(AQ200:AQ204),AO192,SUM(AQ200:AQ204))</f>
        <v>3617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2894</v>
      </c>
      <c r="D210" s="264">
        <f>ROUND(AL207,0)</f>
        <v>3617</v>
      </c>
      <c r="E210" s="17" t="s">
        <v>1329</v>
      </c>
      <c r="K210" s="14" t="s">
        <v>990</v>
      </c>
      <c r="L210" s="173">
        <f>J221</f>
        <v>21.659850374064835</v>
      </c>
      <c r="Y210" s="40" t="s">
        <v>949</v>
      </c>
      <c r="Z210" s="62">
        <f>SUM(Z207:Z209)*IF(Scénario!K2="Exploit. Ind.",1,Scénario!K3)</f>
        <v>14619.793526184538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40313.199999999997</v>
      </c>
      <c r="D211" s="264">
        <f>ROUND(SUM(D201:D210),0)</f>
        <v>40072</v>
      </c>
      <c r="E211" s="17" t="s">
        <v>1331</v>
      </c>
      <c r="K211" s="40" t="s">
        <v>995</v>
      </c>
      <c r="L211" s="62">
        <f>L209+L210</f>
        <v>55.897050374064833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21108.600000000002</v>
      </c>
      <c r="D212" s="261">
        <f>ROUND(C212*D$82/C$82,0)</f>
        <v>20266</v>
      </c>
      <c r="K212" s="40" t="s">
        <v>1334</v>
      </c>
      <c r="L212" s="62">
        <f>L211/IF(Scénario!K2="Exploit. Ind.",1,Scénario!K3)</f>
        <v>55.897050374064833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7974.4</v>
      </c>
      <c r="D214" s="261">
        <f t="shared" si="106"/>
        <v>7656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29083</v>
      </c>
      <c r="D216" s="261">
        <f t="shared" si="106"/>
        <v>27923</v>
      </c>
      <c r="G216" s="14" t="s">
        <v>568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3"/>
      <c r="L216" s="223"/>
      <c r="AF216" s="5"/>
      <c r="AI216" s="14" t="s">
        <v>1140</v>
      </c>
      <c r="AJ216" s="173">
        <f>D183*[1]Protect!$B$17/100</f>
        <v>62.204999999999998</v>
      </c>
      <c r="AK216" s="173"/>
      <c r="AL216" s="173"/>
      <c r="AM216" s="173">
        <f>'Calcul éco'!W272</f>
        <v>6</v>
      </c>
      <c r="AN216" s="173">
        <f>AJ216*AM216</f>
        <v>373.23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1967.6210000000001</v>
      </c>
      <c r="D217" s="261">
        <f t="shared" si="106"/>
        <v>1889</v>
      </c>
      <c r="G217" s="19" t="s">
        <v>601</v>
      </c>
      <c r="H217" s="19" t="str">
        <f>Troupeau!C3</f>
        <v>BV</v>
      </c>
      <c r="I217" s="30">
        <f>'Calcul éco'!S51</f>
        <v>48</v>
      </c>
      <c r="J217" s="48">
        <f t="shared" ref="J217:J218" si="107">I217*D$82/C$82</f>
        <v>46.084788029925186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18034.576999999997</v>
      </c>
      <c r="D218" s="261">
        <f t="shared" si="106"/>
        <v>17315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3617</v>
      </c>
      <c r="D219" s="261">
        <f t="shared" si="106"/>
        <v>3473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388.53</v>
      </c>
      <c r="D220" s="264">
        <f>SUM(AN215:AN219)</f>
        <v>373.23</v>
      </c>
      <c r="E220" s="17" t="s">
        <v>1345</v>
      </c>
      <c r="H220" s="14" t="s">
        <v>1000</v>
      </c>
      <c r="I220" s="30">
        <f>SUM(I216:I219)</f>
        <v>48</v>
      </c>
      <c r="J220" s="30">
        <f>SUM(J216:J219)</f>
        <v>46.084788029925186</v>
      </c>
    </row>
    <row r="221" spans="1:43" x14ac:dyDescent="0.25">
      <c r="B221" s="14" t="s">
        <v>1346</v>
      </c>
      <c r="C221" s="173">
        <f>ROUND(SUM(C216:C220),0)</f>
        <v>53091</v>
      </c>
      <c r="D221" s="264">
        <f>ROUND(SUM(D216:D220),0)</f>
        <v>50973</v>
      </c>
      <c r="E221" s="17" t="s">
        <v>1345</v>
      </c>
      <c r="H221" s="14" t="s">
        <v>1001</v>
      </c>
      <c r="I221" s="30">
        <f>I220*[1]Eco!$B$25</f>
        <v>22.56</v>
      </c>
      <c r="J221" s="30">
        <f>J220*[1]Eco!$B$25</f>
        <v>21.659850374064835</v>
      </c>
    </row>
    <row r="222" spans="1:43" x14ac:dyDescent="0.25">
      <c r="A222" s="2" t="s">
        <v>1067</v>
      </c>
      <c r="B222" s="14" t="s">
        <v>1347</v>
      </c>
      <c r="C222" s="173">
        <f>'Calcul éco'!J149</f>
        <v>2508.5</v>
      </c>
      <c r="D222" s="261">
        <f>ROUND(C222*D$82/C$82,0)</f>
        <v>2408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12</v>
      </c>
      <c r="L224" s="30">
        <f>K224*'Synthèse résultats'!D$82/'Synthèse résultats'!C$82</f>
        <v>11.521197007481296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4147</v>
      </c>
      <c r="AL225" t="s">
        <v>1101</v>
      </c>
      <c r="AM225" s="173"/>
      <c r="AN225" s="173">
        <f>[1]Protect!$B$4</f>
        <v>6</v>
      </c>
      <c r="AO225" s="173">
        <f>AK225*AN225</f>
        <v>24882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12447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24882</v>
      </c>
      <c r="AQ228" s="30">
        <f>IF(Scénario!K84=1,MIN(0.8*AO228,[1]Protect!$B$68),IF(Scénario!K84=2,MIN(0.8*AO228,[1]Protect!$B$67),0))</f>
        <v>19905.600000000002</v>
      </c>
      <c r="AR228" s="30">
        <f>AO228-AQ228</f>
        <v>4976.3999999999978</v>
      </c>
      <c r="AS228" s="30">
        <f>(1-Scénario!K127/100)*AR228</f>
        <v>4976.3999999999978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-114.03</v>
      </c>
      <c r="D230" s="261">
        <f t="shared" si="109"/>
        <v>-109</v>
      </c>
    </row>
    <row r="231" spans="1:49" x14ac:dyDescent="0.25">
      <c r="B231" s="14" t="s">
        <v>1083</v>
      </c>
      <c r="C231" s="173">
        <f>'Calcul éco'!J159</f>
        <v>-117.00000000000001</v>
      </c>
      <c r="D231" s="261">
        <f t="shared" si="109"/>
        <v>-112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-54.39</v>
      </c>
      <c r="D233" s="261">
        <f t="shared" si="109"/>
        <v>-52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3575.9320000000002</v>
      </c>
      <c r="D235" s="264">
        <f>(D191+D192)*8*[1]Eco!$B$106</f>
        <v>2226.8787000000002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33343</v>
      </c>
      <c r="D236" s="264">
        <f>ROUND(SUM(D222:D235),0)</f>
        <v>31053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15796.199999999997</v>
      </c>
      <c r="D237" s="264">
        <f>D194+D211-D221-D236</f>
        <v>17492</v>
      </c>
    </row>
    <row r="238" spans="1:49" x14ac:dyDescent="0.25">
      <c r="B238" s="211" t="s">
        <v>1090</v>
      </c>
      <c r="C238" s="173">
        <f>ROUND(C237/Scénario!$K$4,0)</f>
        <v>10531</v>
      </c>
      <c r="D238" s="264">
        <f>ROUND(D237/D83,0)</f>
        <v>8746</v>
      </c>
    </row>
    <row r="239" spans="1:49" x14ac:dyDescent="0.25">
      <c r="B239" s="211" t="s">
        <v>1091</v>
      </c>
      <c r="C239" s="173">
        <f>'Calcul éco'!B177</f>
        <v>11400</v>
      </c>
      <c r="D239" s="264">
        <f>C239</f>
        <v>11400</v>
      </c>
    </row>
    <row r="240" spans="1:49" x14ac:dyDescent="0.25">
      <c r="B240" s="211" t="s">
        <v>1092</v>
      </c>
      <c r="C240" s="267">
        <f>'Calcul éco'!B178</f>
        <v>638.69640800783895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3758</v>
      </c>
      <c r="D241" s="268">
        <f>ROUND(D237-D239-D240,0)</f>
        <v>6092</v>
      </c>
    </row>
    <row r="242" spans="1:15" x14ac:dyDescent="0.25">
      <c r="B242" s="211" t="s">
        <v>1094</v>
      </c>
      <c r="C242" s="173">
        <f>ROUND(C241/Scénario!K4,0)</f>
        <v>2505</v>
      </c>
      <c r="D242" s="264">
        <f>ROUND(D241/D83,0)</f>
        <v>3046</v>
      </c>
    </row>
    <row r="243" spans="1:15" x14ac:dyDescent="0.25">
      <c r="B243" s="211" t="s">
        <v>1357</v>
      </c>
      <c r="C243" s="173">
        <f>'Calcul éco'!X237+'Calcul éco'!X240</f>
        <v>25902</v>
      </c>
      <c r="D243" s="173">
        <f>C243</f>
        <v>25902</v>
      </c>
    </row>
    <row r="244" spans="1:15" x14ac:dyDescent="0.25">
      <c r="B244" s="211" t="s">
        <v>1358</v>
      </c>
      <c r="C244" s="173">
        <f>'Calcul éco'!AA237+'Calcul éco'!AA240</f>
        <v>5180.3999999999978</v>
      </c>
      <c r="D244" s="173">
        <f>C244</f>
        <v>5180.3999999999978</v>
      </c>
    </row>
    <row r="245" spans="1:15" x14ac:dyDescent="0.25">
      <c r="A245" s="2" t="s">
        <v>1359</v>
      </c>
      <c r="B245" s="14" t="s">
        <v>568</v>
      </c>
      <c r="C245" s="270">
        <f>Travail!F5</f>
        <v>623</v>
      </c>
      <c r="D245" s="173">
        <f>C245</f>
        <v>623</v>
      </c>
    </row>
    <row r="246" spans="1:15" x14ac:dyDescent="0.25">
      <c r="B246" s="14" t="s">
        <v>601</v>
      </c>
      <c r="C246" s="270">
        <f>Travail!F6</f>
        <v>172.2</v>
      </c>
      <c r="D246" s="173">
        <f t="shared" ref="D246:D247" si="112">C246</f>
        <v>172.2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980.04139130434783</v>
      </c>
      <c r="D248" s="264">
        <f>ROUND(SUM(AV163:BS163),1)</f>
        <v>971.1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0</v>
      </c>
      <c r="D251" s="173">
        <f>C251</f>
        <v>0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96</v>
      </c>
      <c r="D252" s="173">
        <f t="shared" ref="D252:D253" si="113">C252</f>
        <v>96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511.5</v>
      </c>
      <c r="D257" s="261">
        <f>ROUND(C257*D$82/C$82,0)</f>
        <v>491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90</v>
      </c>
      <c r="D258" s="261">
        <f t="shared" ref="D258:D259" si="115">ROUND(C258*D$82/C$82,0)</f>
        <v>86</v>
      </c>
      <c r="E258" s="17"/>
      <c r="J258" s="32" t="s">
        <v>790</v>
      </c>
      <c r="K258" s="173">
        <f>D85*((100-Scénario!K31)/100)</f>
        <v>17.2818</v>
      </c>
      <c r="L258" s="190">
        <f>IF(K258&gt;[1]Trav!E121,[1]Trav!C121,[1]Trav!B121)</f>
        <v>7.2</v>
      </c>
      <c r="N258" s="274"/>
      <c r="O258">
        <f t="shared" si="114"/>
        <v>124.42896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11.617000000000001</v>
      </c>
      <c r="L259" s="190">
        <f>IF(K259&gt;[1]Trav!E121,[1]Trav!C121,[1]Trav!B121)</f>
        <v>7.2</v>
      </c>
      <c r="N259" s="274"/>
      <c r="O259">
        <f t="shared" si="114"/>
        <v>83.642400000000009</v>
      </c>
    </row>
    <row r="260" spans="1:15" x14ac:dyDescent="0.25">
      <c r="A260" s="2" t="s">
        <v>767</v>
      </c>
      <c r="B260" s="14" t="s">
        <v>568</v>
      </c>
      <c r="C260" s="270">
        <f>ROUND(Travail!F35,0)</f>
        <v>880</v>
      </c>
      <c r="D260" s="264">
        <f>ROUND(Travail!B35+(Travail!D35*Travail!C35*'Synthèse résultats'!G63),0)</f>
        <v>854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1.92</v>
      </c>
      <c r="L261" s="190">
        <f>IF(K261&gt;[1]Trav!E122,[1]Trav!C122,[1]Trav!B122)</f>
        <v>4.4000000000000004</v>
      </c>
      <c r="M261" s="5"/>
      <c r="N261" s="274"/>
      <c r="O261">
        <f t="shared" si="114"/>
        <v>8.4480000000000004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130</v>
      </c>
      <c r="D267" s="264">
        <f t="shared" si="116"/>
        <v>124</v>
      </c>
    </row>
    <row r="268" spans="1:15" x14ac:dyDescent="0.25">
      <c r="B268" s="32" t="s">
        <v>791</v>
      </c>
      <c r="C268" s="270">
        <f>Travail!F56</f>
        <v>87</v>
      </c>
      <c r="D268" s="264">
        <f t="shared" si="116"/>
        <v>84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9</v>
      </c>
      <c r="D270" s="264">
        <f t="shared" si="116"/>
        <v>8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204.8</v>
      </c>
      <c r="D275" s="173">
        <f>C275</f>
        <v>204.8</v>
      </c>
    </row>
    <row r="276" spans="1:4" x14ac:dyDescent="0.25">
      <c r="A276" s="23"/>
      <c r="B276" s="32" t="s">
        <v>1369</v>
      </c>
      <c r="C276" s="270">
        <f>C192*8</f>
        <v>4.9000000000000004</v>
      </c>
      <c r="D276" s="264">
        <f>D192*8</f>
        <v>4.6900000000000004</v>
      </c>
    </row>
    <row r="277" spans="1:4" x14ac:dyDescent="0.25">
      <c r="B277" s="32" t="s">
        <v>1419</v>
      </c>
      <c r="C277" s="270">
        <f>Travail!F75+Travail!F81</f>
        <v>126.5</v>
      </c>
      <c r="D277" s="173">
        <f>C277</f>
        <v>126.5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2995</v>
      </c>
      <c r="D281" s="264">
        <f>ROUND(D245+D248+D251+D254+D257+D260+D261,0)</f>
        <v>2939</v>
      </c>
    </row>
    <row r="282" spans="1:4" x14ac:dyDescent="0.25">
      <c r="B282" s="14" t="s">
        <v>1372</v>
      </c>
      <c r="C282" s="173">
        <f>ROUND(C246+C249+C252+C255+C258,0)</f>
        <v>862</v>
      </c>
      <c r="D282" s="264">
        <f>ROUND(D246+D249+D252+D255+D258,0)</f>
        <v>858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9.85</v>
      </c>
      <c r="D284" s="173">
        <f>ROUND(D281/(Troupeau!$B$17*G63),2)</f>
        <v>10.07</v>
      </c>
    </row>
    <row r="285" spans="1:4" x14ac:dyDescent="0.25">
      <c r="B285" s="14" t="s">
        <v>1375</v>
      </c>
      <c r="C285" s="173">
        <f>IF(Troupeau!$C$17=0,0,ROUND(C282/Troupeau!$C$17,2))</f>
        <v>45.37</v>
      </c>
      <c r="D285" s="173">
        <f>IF(Troupeau!$C$17=0,0,ROUND(D282/Troupeau!$C$17*G63,2))</f>
        <v>43.36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3857</v>
      </c>
      <c r="D287" s="264">
        <f>SUM(D281:D283)</f>
        <v>3797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282</v>
      </c>
      <c r="D289" s="264">
        <f>SUM(D262:D271)</f>
        <v>273</v>
      </c>
    </row>
    <row r="290" spans="2:4" x14ac:dyDescent="0.25">
      <c r="B290" s="14" t="s">
        <v>1421</v>
      </c>
      <c r="C290" s="270">
        <f>C275+C276+C277</f>
        <v>336.20000000000005</v>
      </c>
      <c r="D290" s="277">
        <f>D275+D276+D277</f>
        <v>335.99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5075</v>
      </c>
      <c r="D292" s="264">
        <f>ROUND(SUM(D287:D291),0)</f>
        <v>5006</v>
      </c>
    </row>
    <row r="293" spans="2:4" x14ac:dyDescent="0.25">
      <c r="B293" s="14" t="s">
        <v>874</v>
      </c>
      <c r="C293" s="173">
        <f>ROUND(IF(Scénario!$K$129=1,SUM(C275:C280),SUM(C278:C280)),0)</f>
        <v>336</v>
      </c>
      <c r="D293" s="173">
        <f>ROUND(IF(Scénario!$K$129=1,SUM(D275:D280),SUM(D278:D280)),0)</f>
        <v>336</v>
      </c>
    </row>
    <row r="294" spans="2:4" x14ac:dyDescent="0.25">
      <c r="B294" s="14" t="s">
        <v>875</v>
      </c>
      <c r="C294" s="173">
        <f>ROUND((C292-C293)/C83,0)</f>
        <v>3159</v>
      </c>
      <c r="D294" s="173">
        <f>ROUND((D292-D293)/D83,0)</f>
        <v>2335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84.089275619269543</v>
      </c>
    </row>
    <row r="299" spans="2:4" x14ac:dyDescent="0.25">
      <c r="B299" s="14" t="s">
        <v>1451</v>
      </c>
      <c r="C299" s="173">
        <f>IF(Troupeau!$B$3="OL",CdTrp1!AA221,0)</f>
        <v>0</v>
      </c>
    </row>
    <row r="300" spans="2:4" x14ac:dyDescent="0.25">
      <c r="B300" s="14" t="s">
        <v>1452</v>
      </c>
      <c r="C300" s="173">
        <f>IF(Troupeau!$B$3="BV",CdTrp1!AA220,0)+IF(Troupeau!$C$3="BV",CdTrp2!AA220,0)</f>
        <v>39.837106959999986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18.7</v>
      </c>
    </row>
    <row r="305" spans="2:3" x14ac:dyDescent="0.25">
      <c r="B305" s="14" t="s">
        <v>1457</v>
      </c>
      <c r="C305" s="173">
        <f>Protection!BJ31</f>
        <v>0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25902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9" zoomScaleNormal="100" workbookViewId="0">
      <selection activeCell="F23" sqref="F2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4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279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265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348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278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69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69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40280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39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70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139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55.131999999999998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1.9320000000000004</v>
      </c>
      <c r="C51" s="61">
        <f t="shared" ref="C51:C61" si="4">C22*K51</f>
        <v>1.4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9.66</v>
      </c>
      <c r="C52" s="61">
        <f t="shared" si="4"/>
        <v>2.4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3.2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0.98000000000000009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15884</v>
      </c>
      <c r="C72" s="61">
        <f t="shared" ref="C72:E76" si="8">C$17*K72</f>
        <v>5454.9000000000005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52.25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9819.1999999999989</v>
      </c>
      <c r="C73" s="61">
        <f t="shared" si="8"/>
        <v>2325.6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32.299999999999997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2888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9.5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7265.7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105.3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105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7" t="s">
        <v>2</v>
      </c>
      <c r="C1" s="297"/>
      <c r="D1" s="297" t="s">
        <v>0</v>
      </c>
      <c r="E1" s="297"/>
      <c r="F1" s="297" t="s">
        <v>1</v>
      </c>
      <c r="G1" s="297"/>
      <c r="H1" s="297" t="s">
        <v>3</v>
      </c>
      <c r="I1" s="297"/>
      <c r="J1" s="297" t="s">
        <v>4</v>
      </c>
      <c r="K1" s="297"/>
      <c r="L1" s="297" t="s">
        <v>5</v>
      </c>
      <c r="M1" s="297"/>
      <c r="N1" s="297" t="s">
        <v>6</v>
      </c>
      <c r="O1" s="297"/>
      <c r="P1" s="297" t="s">
        <v>7</v>
      </c>
      <c r="Q1" s="297"/>
      <c r="R1" s="297" t="s">
        <v>8</v>
      </c>
      <c r="S1" s="297"/>
      <c r="T1" s="297" t="s">
        <v>9</v>
      </c>
      <c r="U1" s="297"/>
      <c r="V1" s="297" t="s">
        <v>10</v>
      </c>
      <c r="W1" s="297"/>
      <c r="X1" s="297" t="s">
        <v>11</v>
      </c>
      <c r="Y1" s="297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4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15884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15.9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9819.1999999999989</v>
      </c>
      <c r="AK19" s="54">
        <f t="shared" ref="AK19:AK52" si="4">IF($AH19=AK$17,ROUND($AI19/1000,1),0)</f>
        <v>9.8000000000000007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2888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2.9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7265.7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7.3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9.8000000000000007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15.9</v>
      </c>
      <c r="AV54" s="84">
        <f t="shared" si="17"/>
        <v>0</v>
      </c>
      <c r="AW54" s="84">
        <f t="shared" si="17"/>
        <v>2.9</v>
      </c>
      <c r="AX54" s="84">
        <f t="shared" si="17"/>
        <v>7.3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36.18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27.247652173913046</v>
      </c>
      <c r="C64" s="61">
        <f t="shared" si="19"/>
        <v>27.247652173913046</v>
      </c>
      <c r="D64" s="61">
        <f t="shared" si="19"/>
        <v>24.610782608695654</v>
      </c>
      <c r="E64" s="61">
        <f t="shared" si="19"/>
        <v>24.610782608695654</v>
      </c>
      <c r="F64" s="61">
        <f t="shared" si="19"/>
        <v>27.247652173913046</v>
      </c>
      <c r="G64" s="61">
        <f t="shared" si="19"/>
        <v>27.247652173913046</v>
      </c>
      <c r="H64" s="61">
        <f t="shared" si="19"/>
        <v>26.368695652173916</v>
      </c>
      <c r="I64" s="61">
        <f t="shared" si="19"/>
        <v>26.368695652173916</v>
      </c>
      <c r="J64" s="61">
        <f t="shared" si="19"/>
        <v>27.247652173913046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27.247652173913046</v>
      </c>
      <c r="V64" s="61">
        <f t="shared" si="19"/>
        <v>26.368695652173916</v>
      </c>
      <c r="W64" s="61">
        <f t="shared" si="19"/>
        <v>26.368695652173916</v>
      </c>
      <c r="X64" s="61">
        <f t="shared" si="19"/>
        <v>27.247652173913046</v>
      </c>
      <c r="Y64" s="61">
        <f t="shared" si="19"/>
        <v>27.247652173913046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29.829008695652174</v>
      </c>
      <c r="H65" s="61">
        <f t="shared" si="20"/>
        <v>28.866782608695654</v>
      </c>
      <c r="I65" s="61">
        <f t="shared" si="20"/>
        <v>28.866782608695654</v>
      </c>
      <c r="J65" s="61">
        <f t="shared" si="20"/>
        <v>74.572521739130451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17.209043478260874</v>
      </c>
      <c r="C66" s="61">
        <f t="shared" si="21"/>
        <v>17.209043478260874</v>
      </c>
      <c r="D66" s="61">
        <f t="shared" si="21"/>
        <v>15.543652173913047</v>
      </c>
      <c r="E66" s="61">
        <f t="shared" si="21"/>
        <v>15.543652173913047</v>
      </c>
      <c r="F66" s="61">
        <f t="shared" si="21"/>
        <v>17.209043478260874</v>
      </c>
      <c r="G66" s="61">
        <f t="shared" si="21"/>
        <v>17.209043478260874</v>
      </c>
      <c r="H66" s="61">
        <f t="shared" si="21"/>
        <v>16.653913043478266</v>
      </c>
      <c r="I66" s="61">
        <f t="shared" si="21"/>
        <v>16.653913043478266</v>
      </c>
      <c r="J66" s="61">
        <f t="shared" si="21"/>
        <v>17.209043478260874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17.209043478260874</v>
      </c>
      <c r="V66" s="61">
        <f t="shared" si="21"/>
        <v>16.653913043478266</v>
      </c>
      <c r="W66" s="61">
        <f t="shared" si="21"/>
        <v>16.653913043478266</v>
      </c>
      <c r="X66" s="61">
        <f t="shared" si="21"/>
        <v>17.209043478260874</v>
      </c>
      <c r="Y66" s="61">
        <f t="shared" si="21"/>
        <v>17.209043478260874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648</v>
      </c>
      <c r="C73" s="64">
        <f t="shared" ref="C73:Y73" si="28">ROUND(SUM(C63:C72),0)</f>
        <v>642</v>
      </c>
      <c r="D73" s="64">
        <f t="shared" si="28"/>
        <v>575</v>
      </c>
      <c r="E73" s="64">
        <f t="shared" si="28"/>
        <v>320</v>
      </c>
      <c r="F73" s="64">
        <f t="shared" si="28"/>
        <v>352</v>
      </c>
      <c r="G73" s="64">
        <f t="shared" si="28"/>
        <v>351</v>
      </c>
      <c r="H73" s="64">
        <f t="shared" si="28"/>
        <v>338</v>
      </c>
      <c r="I73" s="64">
        <f t="shared" si="28"/>
        <v>337</v>
      </c>
      <c r="J73" s="64">
        <f t="shared" si="28"/>
        <v>390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347</v>
      </c>
      <c r="V73" s="64">
        <f t="shared" si="28"/>
        <v>629</v>
      </c>
      <c r="W73" s="64">
        <f t="shared" si="28"/>
        <v>627</v>
      </c>
      <c r="X73" s="64">
        <f t="shared" si="28"/>
        <v>648</v>
      </c>
      <c r="Y73" s="64">
        <f t="shared" si="28"/>
        <v>648</v>
      </c>
      <c r="Z73" s="52"/>
      <c r="AA73" s="56">
        <f>ROUND(SUM(B73:Y73),0)</f>
        <v>8040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>
        <v>1</v>
      </c>
      <c r="W77" s="60">
        <v>1</v>
      </c>
      <c r="X77" s="60">
        <v>1</v>
      </c>
      <c r="Y77" s="60">
        <v>1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20.5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156">
        <v>0.8</v>
      </c>
      <c r="N123" s="156">
        <v>0.8</v>
      </c>
      <c r="O123" s="156">
        <v>0.8</v>
      </c>
      <c r="P123" s="156">
        <v>0.8</v>
      </c>
      <c r="Q123" s="156">
        <v>0.8</v>
      </c>
      <c r="R123" s="156">
        <v>0.8</v>
      </c>
      <c r="S123" s="156">
        <v>0.8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1.0789015513043476</v>
      </c>
      <c r="N136" s="61">
        <f t="shared" si="51"/>
        <v>1.1148649363478258</v>
      </c>
      <c r="O136" s="61">
        <f t="shared" si="51"/>
        <v>1.1148649363478258</v>
      </c>
      <c r="P136" s="61">
        <f t="shared" si="51"/>
        <v>1.1148649363478258</v>
      </c>
      <c r="Q136" s="61">
        <f t="shared" si="51"/>
        <v>1.1148649363478258</v>
      </c>
      <c r="R136" s="61">
        <f t="shared" si="51"/>
        <v>1.0789015513043476</v>
      </c>
      <c r="S136" s="61">
        <f t="shared" si="51"/>
        <v>1.0789015513043476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112.42783831464349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0.35025029565217397</v>
      </c>
      <c r="E138" s="61">
        <f t="shared" si="52"/>
        <v>0.35025029565217397</v>
      </c>
      <c r="F138" s="61">
        <f t="shared" si="52"/>
        <v>0.38777711304347828</v>
      </c>
      <c r="G138" s="61">
        <f t="shared" si="52"/>
        <v>0.38777711304347828</v>
      </c>
      <c r="H138" s="61">
        <f t="shared" si="52"/>
        <v>0.37526817391304346</v>
      </c>
      <c r="I138" s="61">
        <f t="shared" si="52"/>
        <v>0.37526817391304346</v>
      </c>
      <c r="J138" s="61">
        <f t="shared" si="52"/>
        <v>0.96944278260869587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5.1224105739130437</v>
      </c>
    </row>
    <row r="139" spans="1:31" x14ac:dyDescent="0.25">
      <c r="A139" s="127" t="str">
        <f>A$18</f>
        <v>beliers</v>
      </c>
      <c r="B139" s="61">
        <f t="shared" si="52"/>
        <v>0.22371756521739136</v>
      </c>
      <c r="C139" s="61">
        <f t="shared" si="52"/>
        <v>0.22371756521739136</v>
      </c>
      <c r="D139" s="61">
        <f t="shared" si="52"/>
        <v>0.20206747826086963</v>
      </c>
      <c r="E139" s="61">
        <f t="shared" si="52"/>
        <v>0.20206747826086963</v>
      </c>
      <c r="F139" s="61">
        <f t="shared" si="52"/>
        <v>0.22371756521739136</v>
      </c>
      <c r="G139" s="61">
        <f t="shared" si="52"/>
        <v>0.22371756521739136</v>
      </c>
      <c r="H139" s="61">
        <f t="shared" si="52"/>
        <v>0.21650086956521744</v>
      </c>
      <c r="I139" s="61">
        <f t="shared" si="52"/>
        <v>0.21650086956521744</v>
      </c>
      <c r="J139" s="61">
        <f t="shared" si="52"/>
        <v>0.22371756521739136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0.22371756521739136</v>
      </c>
      <c r="V139" s="61">
        <f t="shared" si="52"/>
        <v>0.21650086956521744</v>
      </c>
      <c r="W139" s="61">
        <f t="shared" si="52"/>
        <v>0.21650086956521744</v>
      </c>
      <c r="X139" s="61">
        <f t="shared" si="52"/>
        <v>0.22371756521739136</v>
      </c>
      <c r="Y139" s="61">
        <f t="shared" si="52"/>
        <v>0.22371756521739136</v>
      </c>
      <c r="AA139" s="61">
        <f t="shared" si="53"/>
        <v>3.0598789565217399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120.61012784507828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132.67114062958612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4.3156062052173922</v>
      </c>
      <c r="N149" s="61">
        <f t="shared" si="55"/>
        <v>4.459459745391305</v>
      </c>
      <c r="O149" s="61">
        <f t="shared" si="55"/>
        <v>4.459459745391305</v>
      </c>
      <c r="P149" s="61">
        <f t="shared" si="55"/>
        <v>4.459459745391305</v>
      </c>
      <c r="Q149" s="61">
        <f t="shared" si="55"/>
        <v>4.459459745391305</v>
      </c>
      <c r="R149" s="61">
        <f t="shared" si="55"/>
        <v>4.3156062052173922</v>
      </c>
      <c r="S149" s="61">
        <f t="shared" si="55"/>
        <v>4.3156062052173922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0.96944278260869587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84.089275619269515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4.3156062052173922</v>
      </c>
      <c r="N162" s="61">
        <f t="shared" si="65"/>
        <v>4.459459745391305</v>
      </c>
      <c r="O162" s="61">
        <f t="shared" si="65"/>
        <v>4.459459745391305</v>
      </c>
      <c r="P162" s="61">
        <f t="shared" si="65"/>
        <v>4.459459745391305</v>
      </c>
      <c r="Q162" s="61">
        <f t="shared" si="65"/>
        <v>4.459459745391305</v>
      </c>
      <c r="R162" s="61">
        <f t="shared" si="65"/>
        <v>4.3156062052173922</v>
      </c>
      <c r="S162" s="61">
        <f t="shared" si="65"/>
        <v>4.3156062052173922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0.70843895652173916</v>
      </c>
      <c r="C163" s="61">
        <f t="shared" si="66"/>
        <v>0.70843895652173916</v>
      </c>
      <c r="D163" s="61">
        <f t="shared" si="66"/>
        <v>0.63988034782608705</v>
      </c>
      <c r="E163" s="61">
        <f t="shared" si="66"/>
        <v>0.63988034782608705</v>
      </c>
      <c r="F163" s="61">
        <f t="shared" si="66"/>
        <v>0.70843895652173916</v>
      </c>
      <c r="G163" s="61">
        <f t="shared" si="66"/>
        <v>0.70843895652173916</v>
      </c>
      <c r="H163" s="61">
        <f t="shared" si="66"/>
        <v>0.6855860869565219</v>
      </c>
      <c r="I163" s="61">
        <f t="shared" si="66"/>
        <v>0.6855860869565219</v>
      </c>
      <c r="J163" s="61">
        <f t="shared" si="66"/>
        <v>0.70843895652173916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0.70843895652173916</v>
      </c>
      <c r="V163" s="61">
        <f t="shared" si="66"/>
        <v>0.6855860869565219</v>
      </c>
      <c r="W163" s="61">
        <f t="shared" si="66"/>
        <v>0.6855860869565219</v>
      </c>
      <c r="X163" s="61">
        <f t="shared" si="66"/>
        <v>0.70843895652173916</v>
      </c>
      <c r="Y163" s="61">
        <f t="shared" si="66"/>
        <v>0.70843895652173916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0.96944278260869587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0.70843895652173916</v>
      </c>
      <c r="C172" s="61">
        <f t="shared" ref="C172:Y172" si="75">SUM(C162:C171)</f>
        <v>0.70843895652173916</v>
      </c>
      <c r="D172" s="61">
        <f t="shared" si="75"/>
        <v>0.63988034782608705</v>
      </c>
      <c r="E172" s="61">
        <f t="shared" si="75"/>
        <v>0.63988034782608705</v>
      </c>
      <c r="F172" s="61">
        <f t="shared" si="75"/>
        <v>0.70843895652173916</v>
      </c>
      <c r="G172" s="61">
        <f t="shared" si="75"/>
        <v>6.0856971450434791</v>
      </c>
      <c r="H172" s="61">
        <f t="shared" si="75"/>
        <v>5.8624216486956549</v>
      </c>
      <c r="I172" s="61">
        <f t="shared" si="75"/>
        <v>5.8354589634782617</v>
      </c>
      <c r="J172" s="61">
        <f t="shared" si="75"/>
        <v>5.9742513794782619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5.2537766400000008</v>
      </c>
      <c r="N172" s="61">
        <f t="shared" si="75"/>
        <v>5.4289025280000009</v>
      </c>
      <c r="O172" s="61">
        <f t="shared" si="75"/>
        <v>5.4289025280000009</v>
      </c>
      <c r="P172" s="61">
        <f t="shared" si="75"/>
        <v>5.4289025280000009</v>
      </c>
      <c r="Q172" s="61">
        <f t="shared" si="75"/>
        <v>5.4289025280000009</v>
      </c>
      <c r="R172" s="61">
        <f t="shared" si="75"/>
        <v>5.2537766400000008</v>
      </c>
      <c r="S172" s="61">
        <f t="shared" si="75"/>
        <v>5.2537766400000008</v>
      </c>
      <c r="T172" s="61">
        <f t="shared" si="75"/>
        <v>2.4143940950956533</v>
      </c>
      <c r="U172" s="61">
        <f t="shared" si="75"/>
        <v>3.5643055353043485</v>
      </c>
      <c r="V172" s="61">
        <f t="shared" si="75"/>
        <v>0.6855860869565219</v>
      </c>
      <c r="W172" s="61">
        <f t="shared" si="75"/>
        <v>0.6855860869565219</v>
      </c>
      <c r="X172" s="61">
        <f t="shared" si="75"/>
        <v>0.70843895652173916</v>
      </c>
      <c r="Y172" s="61">
        <f t="shared" si="75"/>
        <v>0.70843895652173916</v>
      </c>
      <c r="AA172" s="64">
        <f>SUM(B172:Y172)</f>
        <v>84.089275619269543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0.70843895652173916</v>
      </c>
      <c r="C215" s="61">
        <f t="shared" ref="C215:Y215" si="108">C172</f>
        <v>0.70843895652173916</v>
      </c>
      <c r="D215" s="61">
        <f t="shared" si="108"/>
        <v>0.63988034782608705</v>
      </c>
      <c r="E215" s="61">
        <f t="shared" si="108"/>
        <v>0.63988034782608705</v>
      </c>
      <c r="F215" s="61">
        <f t="shared" si="108"/>
        <v>0.70843895652173916</v>
      </c>
      <c r="G215" s="61">
        <f t="shared" si="108"/>
        <v>6.0856971450434791</v>
      </c>
      <c r="H215" s="61">
        <f t="shared" si="108"/>
        <v>5.8624216486956549</v>
      </c>
      <c r="I215" s="61">
        <f t="shared" si="108"/>
        <v>5.8354589634782617</v>
      </c>
      <c r="J215" s="61">
        <f t="shared" si="108"/>
        <v>5.9742513794782619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5.2537766400000008</v>
      </c>
      <c r="N215" s="61">
        <f t="shared" si="108"/>
        <v>5.4289025280000009</v>
      </c>
      <c r="O215" s="61">
        <f t="shared" si="108"/>
        <v>5.4289025280000009</v>
      </c>
      <c r="P215" s="61">
        <f t="shared" si="108"/>
        <v>5.4289025280000009</v>
      </c>
      <c r="Q215" s="61">
        <f t="shared" si="108"/>
        <v>5.4289025280000009</v>
      </c>
      <c r="R215" s="61">
        <f t="shared" si="108"/>
        <v>5.2537766400000008</v>
      </c>
      <c r="S215" s="61">
        <f t="shared" si="108"/>
        <v>5.2537766400000008</v>
      </c>
      <c r="T215" s="61">
        <f t="shared" si="108"/>
        <v>2.4143940950956533</v>
      </c>
      <c r="U215" s="61">
        <f t="shared" si="108"/>
        <v>3.5643055353043485</v>
      </c>
      <c r="V215" s="61">
        <f t="shared" si="108"/>
        <v>0.6855860869565219</v>
      </c>
      <c r="W215" s="61">
        <f t="shared" si="108"/>
        <v>0.6855860869565219</v>
      </c>
      <c r="X215" s="61">
        <f t="shared" si="108"/>
        <v>0.70843895652173916</v>
      </c>
      <c r="Y215" s="61">
        <f t="shared" si="108"/>
        <v>0.70843895652173916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84.089275619269543</v>
      </c>
      <c r="AB219" t="s">
        <v>222</v>
      </c>
    </row>
    <row r="220" spans="1:28" x14ac:dyDescent="0.25">
      <c r="AA220" s="30">
        <f>SUM(B215:Y217)</f>
        <v>84.089275619269543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3" activePane="bottomLeft" state="frozen"/>
      <selection pane="bottomLeft" activeCell="M123" sqref="M123:Q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7" t="s">
        <v>2</v>
      </c>
      <c r="C1" s="297"/>
      <c r="D1" s="297" t="s">
        <v>0</v>
      </c>
      <c r="E1" s="297"/>
      <c r="F1" s="297" t="s">
        <v>1</v>
      </c>
      <c r="G1" s="297"/>
      <c r="H1" s="297" t="s">
        <v>3</v>
      </c>
      <c r="I1" s="297"/>
      <c r="J1" s="297" t="s">
        <v>4</v>
      </c>
      <c r="K1" s="297"/>
      <c r="L1" s="297" t="s">
        <v>5</v>
      </c>
      <c r="M1" s="297"/>
      <c r="N1" s="297" t="s">
        <v>6</v>
      </c>
      <c r="O1" s="297"/>
      <c r="P1" s="297" t="s">
        <v>7</v>
      </c>
      <c r="Q1" s="297"/>
      <c r="R1" s="297" t="s">
        <v>8</v>
      </c>
      <c r="S1" s="297"/>
      <c r="T1" s="297" t="s">
        <v>9</v>
      </c>
      <c r="U1" s="297"/>
      <c r="V1" s="297" t="s">
        <v>10</v>
      </c>
      <c r="W1" s="297"/>
      <c r="X1" s="297" t="s">
        <v>11</v>
      </c>
      <c r="Y1" s="297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5454.9000000000005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5.5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2325.6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2.2999999999999998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1</v>
      </c>
      <c r="C53" s="60">
        <v>1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5.5</v>
      </c>
      <c r="AZ54" s="84">
        <f t="shared" si="17"/>
        <v>2.2999999999999998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3</v>
      </c>
      <c r="U76" s="60">
        <v>3</v>
      </c>
      <c r="V76" s="60">
        <v>3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3</v>
      </c>
      <c r="G78" s="60">
        <v>2</v>
      </c>
      <c r="H78" s="60">
        <v>2</v>
      </c>
      <c r="I78" s="60">
        <v>2</v>
      </c>
      <c r="J78" s="60">
        <v>3</v>
      </c>
      <c r="K78" s="60">
        <v>2</v>
      </c>
      <c r="L78" s="60">
        <v>2</v>
      </c>
      <c r="M78" s="60">
        <v>2</v>
      </c>
      <c r="N78" s="60">
        <v>3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3</v>
      </c>
      <c r="V78" s="60">
        <v>2</v>
      </c>
      <c r="W78" s="60">
        <v>2</v>
      </c>
      <c r="X78" s="60"/>
      <c r="Y78" s="60"/>
      <c r="AB78">
        <v>1</v>
      </c>
      <c r="AC78">
        <f>COUNTIF($B$76:$Y$85,AB78)/2</f>
        <v>10.5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3.5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2.6869620842666664</v>
      </c>
      <c r="C110" s="61">
        <f t="shared" si="31"/>
        <v>2.6758128640000001</v>
      </c>
      <c r="D110" s="61">
        <f t="shared" si="31"/>
        <v>2.4168632320000003</v>
      </c>
      <c r="E110" s="61">
        <f t="shared" si="31"/>
        <v>2.4168632320000003</v>
      </c>
      <c r="F110" s="61">
        <f t="shared" si="31"/>
        <v>2.6758128640000001</v>
      </c>
      <c r="G110" s="61">
        <f t="shared" si="31"/>
        <v>2.5197237802666668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2.6702382538666662</v>
      </c>
      <c r="Y110" s="61">
        <f t="shared" si="31"/>
        <v>2.7204097450666662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1.23228224</v>
      </c>
      <c r="C112" s="61">
        <f t="shared" si="31"/>
        <v>1.23228224</v>
      </c>
      <c r="D112" s="61">
        <f t="shared" si="31"/>
        <v>1.11302912</v>
      </c>
      <c r="E112" s="61">
        <f t="shared" si="31"/>
        <v>1.11302912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1.23228224</v>
      </c>
      <c r="Y112" s="61">
        <f t="shared" si="31"/>
        <v>1.23228224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</v>
      </c>
      <c r="C120" s="61">
        <f t="shared" ref="C120:Y120" si="32">SUM(C110:C119)</f>
        <v>3.908095104</v>
      </c>
      <c r="D120" s="61">
        <f t="shared" si="32"/>
        <v>3.5298923520000001</v>
      </c>
      <c r="E120" s="61">
        <f t="shared" si="32"/>
        <v>3.5298923520000001</v>
      </c>
      <c r="F120" s="61">
        <f t="shared" si="32"/>
        <v>3.9621888639999998</v>
      </c>
      <c r="G120" s="61">
        <f t="shared" si="32"/>
        <v>3.9132977802666664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3.9025204938666662</v>
      </c>
      <c r="Y120" s="61">
        <f t="shared" si="32"/>
        <v>3.9526919850666662</v>
      </c>
      <c r="AA120" s="57">
        <f>SUM(B120:Y120)</f>
        <v>93.225053451199983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2.6869620842666664</v>
      </c>
      <c r="C136" s="61">
        <f t="shared" ref="C136:Y136" si="33">C110*(1-C123)</f>
        <v>2.6758128640000001</v>
      </c>
      <c r="D136" s="61">
        <f t="shared" si="33"/>
        <v>2.4168632320000003</v>
      </c>
      <c r="E136" s="61">
        <f t="shared" si="33"/>
        <v>2.4168632320000003</v>
      </c>
      <c r="F136" s="61">
        <f t="shared" si="33"/>
        <v>2.6758128640000001</v>
      </c>
      <c r="G136" s="61">
        <f t="shared" si="33"/>
        <v>2.5197237802666668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2.6702382538666662</v>
      </c>
      <c r="Y136" s="61">
        <f t="shared" si="33"/>
        <v>2.7204097450666662</v>
      </c>
      <c r="AA136" s="61">
        <f>SUM(B136:Y136)</f>
        <v>26.235994615466666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1.23228224</v>
      </c>
      <c r="C138" s="61">
        <f t="shared" si="34"/>
        <v>1.23228224</v>
      </c>
      <c r="D138" s="61">
        <f t="shared" si="34"/>
        <v>1.11302912</v>
      </c>
      <c r="E138" s="61">
        <f t="shared" si="34"/>
        <v>1.11302912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1.23228224</v>
      </c>
      <c r="Y138" s="61">
        <f t="shared" si="34"/>
        <v>1.23228224</v>
      </c>
      <c r="AA138" s="61">
        <f t="shared" ref="AA138:AA144" si="35">SUM(B138:Y138)</f>
        <v>7.1551872000000003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35.637152815466663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37.419010456239995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0.15561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0.160797</v>
      </c>
      <c r="P172" s="61">
        <f t="shared" si="57"/>
        <v>0.160797</v>
      </c>
      <c r="Q172" s="61">
        <f t="shared" si="57"/>
        <v>0.160797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0.13399749999999999</v>
      </c>
      <c r="V172" s="61">
        <f t="shared" si="57"/>
        <v>5.1869999999999993E-2</v>
      </c>
      <c r="W172" s="61">
        <f t="shared" si="57"/>
        <v>2.5934999999999996E-2</v>
      </c>
      <c r="X172" s="61">
        <f t="shared" si="57"/>
        <v>0</v>
      </c>
      <c r="Y172" s="61">
        <f t="shared" si="57"/>
        <v>0</v>
      </c>
      <c r="AA172" s="64">
        <f>SUM(B172:Y172)</f>
        <v>4.5968391000000004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2.3031078000000003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0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0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1.286376</v>
      </c>
      <c r="U177" s="61">
        <f t="shared" si="60"/>
        <v>0</v>
      </c>
      <c r="V177" s="61">
        <f t="shared" si="60"/>
        <v>1.24488</v>
      </c>
      <c r="W177" s="61">
        <f t="shared" si="60"/>
        <v>1.24488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3.5479878000000005</v>
      </c>
      <c r="J185" s="61">
        <f>SUM(CdTrp2!J175:J184)</f>
        <v>2.3305257499999996</v>
      </c>
      <c r="K185" s="61">
        <f>SUM(CdTrp2!K175:K184)</f>
        <v>3.6169017499999994</v>
      </c>
      <c r="L185" s="61">
        <f>SUM(CdTrp2!L175:L184)</f>
        <v>1.24488</v>
      </c>
      <c r="M185" s="61">
        <f>SUM(CdTrp2!M175:M184)</f>
        <v>1.24488</v>
      </c>
      <c r="N185" s="61">
        <f>SUM(CdTrp2!N175:N184)</f>
        <v>0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1.24488</v>
      </c>
      <c r="S185" s="61">
        <f>SUM(CdTrp2!S175:S184)</f>
        <v>1.24488</v>
      </c>
      <c r="T185" s="61">
        <f>SUM(CdTrp2!T175:T184)</f>
        <v>1.286376</v>
      </c>
      <c r="U185" s="61">
        <f>SUM(CdTrp2!U175:U184)</f>
        <v>0</v>
      </c>
      <c r="V185" s="61">
        <f>SUM(CdTrp2!V175:V184)</f>
        <v>1.24488</v>
      </c>
      <c r="W185" s="61">
        <f>SUM(CdTrp2!W175:W184)</f>
        <v>2.6701079999999999</v>
      </c>
      <c r="X185" s="61">
        <f>SUM(CdTrp2!X175:X184)</f>
        <v>0</v>
      </c>
      <c r="Y185" s="61">
        <f>SUM(CdTrp2!Y175:Y184)</f>
        <v>0</v>
      </c>
      <c r="AA185" s="64">
        <f>SUM(B185:Y185)</f>
        <v>26.066683299999998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1.3979363999999999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1.286376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1.286376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1.286376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1.286376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1.286376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1.286376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1.286376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1.2972607199999999</v>
      </c>
      <c r="U198" s="61">
        <f t="shared" si="78"/>
        <v>2.61925944</v>
      </c>
      <c r="V198" s="61">
        <f t="shared" si="78"/>
        <v>1.3979363999999999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9.1735845599999983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0.15561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0.160797</v>
      </c>
      <c r="P215" s="61">
        <f t="shared" si="90"/>
        <v>0.160797</v>
      </c>
      <c r="Q215" s="61">
        <f t="shared" si="90"/>
        <v>0.160797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0.13399749999999999</v>
      </c>
      <c r="V215" s="61">
        <f t="shared" si="90"/>
        <v>5.1869999999999993E-2</v>
      </c>
      <c r="W215" s="61">
        <f t="shared" si="90"/>
        <v>2.5934999999999996E-2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1.286376</v>
      </c>
      <c r="H216" s="61">
        <f t="shared" si="91"/>
        <v>1.24488</v>
      </c>
      <c r="I216" s="61">
        <f t="shared" si="91"/>
        <v>3.5479878000000005</v>
      </c>
      <c r="J216" s="61">
        <f t="shared" si="91"/>
        <v>2.3305257499999996</v>
      </c>
      <c r="K216" s="61">
        <f t="shared" si="91"/>
        <v>3.6169017499999994</v>
      </c>
      <c r="L216" s="61">
        <f t="shared" si="91"/>
        <v>1.24488</v>
      </c>
      <c r="M216" s="61">
        <f t="shared" si="91"/>
        <v>1.24488</v>
      </c>
      <c r="N216" s="61">
        <f t="shared" si="91"/>
        <v>0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1.24488</v>
      </c>
      <c r="S216" s="61">
        <f t="shared" si="91"/>
        <v>1.24488</v>
      </c>
      <c r="T216" s="61">
        <f t="shared" si="91"/>
        <v>1.286376</v>
      </c>
      <c r="U216" s="61">
        <f t="shared" si="91"/>
        <v>0</v>
      </c>
      <c r="V216" s="61">
        <f t="shared" si="91"/>
        <v>1.24488</v>
      </c>
      <c r="W216" s="61">
        <f t="shared" si="91"/>
        <v>2.6701079999999999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1.286376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1.286376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1.286376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1.2972607199999999</v>
      </c>
      <c r="U217" s="61">
        <f t="shared" si="92"/>
        <v>2.61925944</v>
      </c>
      <c r="V217" s="61">
        <f t="shared" si="92"/>
        <v>1.3979363999999999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39.837106959999986</v>
      </c>
      <c r="AB219" t="s">
        <v>222</v>
      </c>
    </row>
    <row r="220" spans="1:28" x14ac:dyDescent="0.25">
      <c r="AA220" s="30">
        <f>SUM(B215:Y217)</f>
        <v>39.837106959999986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7" t="s">
        <v>2</v>
      </c>
      <c r="C1" s="297"/>
      <c r="D1" s="297" t="s">
        <v>0</v>
      </c>
      <c r="E1" s="297"/>
      <c r="F1" s="297" t="s">
        <v>1</v>
      </c>
      <c r="G1" s="297"/>
      <c r="H1" s="297" t="s">
        <v>3</v>
      </c>
      <c r="I1" s="297"/>
      <c r="J1" s="297" t="s">
        <v>4</v>
      </c>
      <c r="K1" s="297"/>
      <c r="L1" s="297" t="s">
        <v>5</v>
      </c>
      <c r="M1" s="297"/>
      <c r="N1" s="297" t="s">
        <v>6</v>
      </c>
      <c r="O1" s="297"/>
      <c r="P1" s="297" t="s">
        <v>7</v>
      </c>
      <c r="Q1" s="297"/>
      <c r="R1" s="297" t="s">
        <v>8</v>
      </c>
      <c r="S1" s="297"/>
      <c r="T1" s="297" t="s">
        <v>9</v>
      </c>
      <c r="U1" s="297"/>
      <c r="V1" s="297" t="s">
        <v>10</v>
      </c>
      <c r="W1" s="297"/>
      <c r="X1" s="297" t="s">
        <v>11</v>
      </c>
      <c r="Y1" s="297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7" t="s">
        <v>2</v>
      </c>
      <c r="C1" s="297"/>
      <c r="D1" s="297" t="s">
        <v>0</v>
      </c>
      <c r="E1" s="297"/>
      <c r="F1" s="297" t="s">
        <v>1</v>
      </c>
      <c r="G1" s="297"/>
      <c r="H1" s="297" t="s">
        <v>3</v>
      </c>
      <c r="I1" s="297"/>
      <c r="J1" s="297" t="s">
        <v>4</v>
      </c>
      <c r="K1" s="297"/>
      <c r="L1" s="297" t="s">
        <v>5</v>
      </c>
      <c r="M1" s="297"/>
      <c r="N1" s="297" t="s">
        <v>6</v>
      </c>
      <c r="O1" s="297"/>
      <c r="P1" s="297" t="s">
        <v>7</v>
      </c>
      <c r="Q1" s="297"/>
      <c r="R1" s="297" t="s">
        <v>8</v>
      </c>
      <c r="S1" s="297"/>
      <c r="T1" s="297" t="s">
        <v>9</v>
      </c>
      <c r="U1" s="297"/>
      <c r="V1" s="297" t="s">
        <v>10</v>
      </c>
      <c r="W1" s="297"/>
      <c r="X1" s="297" t="s">
        <v>11</v>
      </c>
      <c r="Y1" s="297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7" t="s">
        <v>2</v>
      </c>
      <c r="H1" s="297"/>
      <c r="I1" s="297" t="s">
        <v>0</v>
      </c>
      <c r="J1" s="297"/>
      <c r="K1" s="297" t="s">
        <v>1</v>
      </c>
      <c r="L1" s="297"/>
      <c r="M1" s="297" t="s">
        <v>3</v>
      </c>
      <c r="N1" s="297"/>
      <c r="O1" s="297" t="s">
        <v>4</v>
      </c>
      <c r="P1" s="297"/>
      <c r="Q1" s="297" t="s">
        <v>5</v>
      </c>
      <c r="R1" s="297"/>
      <c r="S1" s="297" t="s">
        <v>6</v>
      </c>
      <c r="T1" s="297"/>
      <c r="U1" s="297" t="s">
        <v>7</v>
      </c>
      <c r="V1" s="297"/>
      <c r="W1" s="297" t="s">
        <v>8</v>
      </c>
      <c r="X1" s="297"/>
      <c r="Y1" s="297" t="s">
        <v>9</v>
      </c>
      <c r="Z1" s="297"/>
      <c r="AA1" s="297" t="s">
        <v>10</v>
      </c>
      <c r="AB1" s="297"/>
      <c r="AC1" s="297" t="s">
        <v>11</v>
      </c>
      <c r="AD1" s="297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50.379999999999995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170.09015108582611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0.70843895652173916</v>
      </c>
      <c r="H5" s="143">
        <f>CdTrp1!C215+CdTrp2!C215+CdTrp3!C215+CdTrp4!C215</f>
        <v>0.70843895652173916</v>
      </c>
      <c r="I5" s="143">
        <f>CdTrp1!D215+CdTrp2!D215+CdTrp3!D215+CdTrp4!D215</f>
        <v>0.63988034782608705</v>
      </c>
      <c r="J5" s="143">
        <f>CdTrp1!E215+CdTrp2!E215+CdTrp3!E215+CdTrp4!E215</f>
        <v>0.63988034782608705</v>
      </c>
      <c r="K5" s="143">
        <f>CdTrp1!F215+CdTrp2!F215+CdTrp3!F215+CdTrp4!F215</f>
        <v>0.70843895652173916</v>
      </c>
      <c r="L5" s="143">
        <f>CdTrp1!G215+CdTrp2!G215+CdTrp3!G215+CdTrp4!G215</f>
        <v>6.1392961450434793</v>
      </c>
      <c r="M5" s="143">
        <f>CdTrp1!H215+CdTrp2!H215+CdTrp3!H215+CdTrp4!H215</f>
        <v>8.3170297486956546</v>
      </c>
      <c r="N5" s="143">
        <f>CdTrp1!I215+CdTrp2!I215+CdTrp3!I215+CdTrp4!I215</f>
        <v>5.9910689634782619</v>
      </c>
      <c r="O5" s="143">
        <f>CdTrp1!J215+CdTrp2!J215+CdTrp3!J215+CdTrp4!J215</f>
        <v>6.1350483794782615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5.409386640000001</v>
      </c>
      <c r="S5" s="143">
        <f>CdTrp1!N215+CdTrp2!N215+CdTrp3!N215+CdTrp4!N215</f>
        <v>5.5896995280000006</v>
      </c>
      <c r="T5" s="143">
        <f>CdTrp1!O215+CdTrp2!O215+CdTrp3!O215+CdTrp4!O215</f>
        <v>5.5896995280000006</v>
      </c>
      <c r="U5" s="143">
        <f>CdTrp1!P215+CdTrp2!P215+CdTrp3!P215+CdTrp4!P215</f>
        <v>5.5896995280000006</v>
      </c>
      <c r="V5" s="143">
        <f>CdTrp1!Q215+CdTrp2!Q215+CdTrp3!Q215+CdTrp4!Q215</f>
        <v>5.5896995280000006</v>
      </c>
      <c r="W5" s="143">
        <f>CdTrp1!R215+CdTrp2!R215+CdTrp3!R215+CdTrp4!R215</f>
        <v>5.409386640000001</v>
      </c>
      <c r="X5" s="143">
        <f>CdTrp1!S215+CdTrp2!S215+CdTrp3!S215+CdTrp4!S215</f>
        <v>5.409386640000001</v>
      </c>
      <c r="Y5" s="143">
        <f>CdTrp1!T215+CdTrp2!T215+CdTrp3!T215+CdTrp4!T215</f>
        <v>2.5483915950956533</v>
      </c>
      <c r="Z5" s="143">
        <f>CdTrp1!U215+CdTrp2!U215+CdTrp3!U215+CdTrp4!U215</f>
        <v>3.6983030353043485</v>
      </c>
      <c r="AA5" s="143">
        <f>CdTrp1!V215+CdTrp2!V215+CdTrp3!V215+CdTrp4!V215</f>
        <v>0.73745608695652187</v>
      </c>
      <c r="AB5" s="143">
        <f>CdTrp1!W215+CdTrp2!W215+CdTrp3!W215+CdTrp4!W215</f>
        <v>0.71152108695652194</v>
      </c>
      <c r="AC5" s="143">
        <f>CdTrp1!X215+CdTrp2!X215+CdTrp3!X215+CdTrp4!X215</f>
        <v>0.70843895652173916</v>
      </c>
      <c r="AD5" s="143">
        <f>CdTrp1!Y215+CdTrp2!Y215+CdTrp3!Y215+CdTrp4!Y215</f>
        <v>0.70843895652173916</v>
      </c>
      <c r="AE5" s="153"/>
      <c r="AF5" s="144">
        <f>AF8+AF9</f>
        <v>123.92638257926957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1.286376</v>
      </c>
      <c r="M6" s="143">
        <f>CdTrp1!H216+CdTrp2!H216+CdTrp3!H216+CdTrp4!H216</f>
        <v>1.24488</v>
      </c>
      <c r="N6" s="143">
        <f>CdTrp1!I216+CdTrp2!I216+CdTrp3!I216+CdTrp4!I216</f>
        <v>3.5479878000000005</v>
      </c>
      <c r="O6" s="143">
        <f>CdTrp1!J216+CdTrp2!J216+CdTrp3!J216+CdTrp4!J216</f>
        <v>2.3305257499999996</v>
      </c>
      <c r="P6" s="143">
        <f>CdTrp1!K216+CdTrp2!K216+CdTrp3!K216+CdTrp4!K216</f>
        <v>3.6169017499999994</v>
      </c>
      <c r="Q6" s="143">
        <f>CdTrp1!L216+CdTrp2!L216+CdTrp3!L216+CdTrp4!L216</f>
        <v>1.24488</v>
      </c>
      <c r="R6" s="143">
        <f>CdTrp1!M216+CdTrp2!M216+CdTrp3!M216+CdTrp4!M216</f>
        <v>1.24488</v>
      </c>
      <c r="S6" s="143">
        <f>CdTrp1!N216+CdTrp2!N216+CdTrp3!N216+CdTrp4!N216</f>
        <v>0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1.24488</v>
      </c>
      <c r="X6" s="143">
        <f>CdTrp1!S216+CdTrp2!S216+CdTrp3!S216+CdTrp4!S216</f>
        <v>1.24488</v>
      </c>
      <c r="Y6" s="143">
        <f>CdTrp1!T216+CdTrp2!T216+CdTrp3!T216+CdTrp4!T216</f>
        <v>1.286376</v>
      </c>
      <c r="Z6" s="143">
        <f>CdTrp1!U216+CdTrp2!U216+CdTrp3!U216+CdTrp4!U216</f>
        <v>0</v>
      </c>
      <c r="AA6" s="143">
        <f>CdTrp1!V216+CdTrp2!V216+CdTrp3!V216+CdTrp4!V216</f>
        <v>1.24488</v>
      </c>
      <c r="AB6" s="143">
        <f>CdTrp1!W216+CdTrp2!W216+CdTrp3!W216+CdTrp4!W216</f>
        <v>2.6701079999999999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158.19999999999999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1.286376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1.286376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1.286376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1.2972607199999999</v>
      </c>
      <c r="Z7" s="143">
        <f>CdTrp1!U217+CdTrp2!U217+CdTrp3!U217+CdTrp4!U217</f>
        <v>2.61925944</v>
      </c>
      <c r="AA7" s="143">
        <f>CdTrp1!V217+CdTrp2!V217+CdTrp3!V217+CdTrp4!V217</f>
        <v>1.3979363999999999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0.70843895652173916</v>
      </c>
      <c r="H8" s="143">
        <f t="shared" ref="H8:AD8" si="0">SUM(H5:H7)</f>
        <v>0.70843895652173916</v>
      </c>
      <c r="I8" s="143">
        <f t="shared" si="0"/>
        <v>0.63988034782608705</v>
      </c>
      <c r="J8" s="143">
        <f t="shared" si="0"/>
        <v>0.63988034782608705</v>
      </c>
      <c r="K8" s="143">
        <f t="shared" si="0"/>
        <v>1.994814956521739</v>
      </c>
      <c r="L8" s="143">
        <f t="shared" si="0"/>
        <v>7.4256721450434791</v>
      </c>
      <c r="M8" s="143">
        <f t="shared" si="0"/>
        <v>9.5619097486956548</v>
      </c>
      <c r="N8" s="143">
        <f t="shared" si="0"/>
        <v>9.5390567634782624</v>
      </c>
      <c r="O8" s="143">
        <f t="shared" si="0"/>
        <v>9.7519501294782618</v>
      </c>
      <c r="P8" s="143">
        <f t="shared" si="0"/>
        <v>9.2066012780000008</v>
      </c>
      <c r="Q8" s="143">
        <f t="shared" si="0"/>
        <v>6.6542666400000012</v>
      </c>
      <c r="R8" s="143">
        <f t="shared" si="0"/>
        <v>6.6542666400000012</v>
      </c>
      <c r="S8" s="143">
        <f t="shared" si="0"/>
        <v>6.8760755280000003</v>
      </c>
      <c r="T8" s="143">
        <f t="shared" si="0"/>
        <v>6.8760755280000003</v>
      </c>
      <c r="U8" s="143">
        <f t="shared" si="0"/>
        <v>6.8760755280000003</v>
      </c>
      <c r="V8" s="143">
        <f t="shared" si="0"/>
        <v>6.8760755280000003</v>
      </c>
      <c r="W8" s="143">
        <f t="shared" si="0"/>
        <v>6.6542666400000012</v>
      </c>
      <c r="X8" s="143">
        <f t="shared" si="0"/>
        <v>6.6542666400000012</v>
      </c>
      <c r="Y8" s="143">
        <f t="shared" si="0"/>
        <v>5.1320283150956527</v>
      </c>
      <c r="Z8" s="143">
        <f t="shared" si="0"/>
        <v>6.3175624753043484</v>
      </c>
      <c r="AA8" s="143">
        <f t="shared" si="0"/>
        <v>3.3802724869565219</v>
      </c>
      <c r="AB8" s="143">
        <f t="shared" si="0"/>
        <v>3.3816290869565218</v>
      </c>
      <c r="AC8" s="143">
        <f t="shared" si="0"/>
        <v>0.70843895652173916</v>
      </c>
      <c r="AD8" s="143">
        <f t="shared" si="0"/>
        <v>0.70843895652173916</v>
      </c>
      <c r="AE8" s="153"/>
      <c r="AF8" s="144">
        <f>SUM(G8:AD8)</f>
        <v>123.92638257926957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15.9</v>
      </c>
      <c r="R14" s="145">
        <f>CdTrp1!AV54+CdTrp2!AV54+CdTrp3!AV54+CdTrp4!AV54</f>
        <v>0</v>
      </c>
      <c r="S14" s="145">
        <f>CdTrp1!AW54+CdTrp2!AW54+CdTrp3!AW54+CdTrp4!AW54</f>
        <v>2.9</v>
      </c>
      <c r="T14" s="145">
        <f>CdTrp1!AX54+CdTrp2!AX54+CdTrp3!AX54+CdTrp4!AX54</f>
        <v>7.3</v>
      </c>
      <c r="U14" s="145">
        <f>CdTrp1!AY54+CdTrp2!AY54+CdTrp3!AY54+CdTrp4!AY54</f>
        <v>5.5</v>
      </c>
      <c r="V14" s="145">
        <f>CdTrp1!AZ54+CdTrp2!AZ54+CdTrp3!AZ54+CdTrp4!AZ54</f>
        <v>2.2999999999999998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48.5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31</v>
      </c>
      <c r="H18" s="158">
        <f>G18/G17</f>
        <v>0.63917525773195871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10</v>
      </c>
      <c r="H19" s="158">
        <f>G19/G17</f>
        <v>0.20618556701030927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3.5</v>
      </c>
      <c r="H20" s="158">
        <f>G20/G17</f>
        <v>7.2164948453608241E-2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15.9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2.9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7.3</v>
      </c>
    </row>
    <row r="25" spans="2:9" x14ac:dyDescent="0.25">
      <c r="B25" s="19" t="str">
        <f>[1]Conc!C19</f>
        <v>15 -concentré bovin allaitant</v>
      </c>
      <c r="C25" s="144">
        <f>U14</f>
        <v>5.5</v>
      </c>
    </row>
    <row r="26" spans="2:9" x14ac:dyDescent="0.25">
      <c r="B26" s="19" t="str">
        <f>[1]Conc!C20</f>
        <v>16 -correcteur N bovin allaitant</v>
      </c>
      <c r="C26" s="144">
        <f>V14</f>
        <v>2.2999999999999998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N26" sqref="N26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8" t="s">
        <v>250</v>
      </c>
      <c r="AT2" s="298"/>
      <c r="AU2" s="297" t="s">
        <v>251</v>
      </c>
      <c r="AV2" s="297"/>
      <c r="AW2" s="297" t="s">
        <v>252</v>
      </c>
      <c r="AX2" s="297"/>
      <c r="AY2" s="297" t="s">
        <v>253</v>
      </c>
      <c r="AZ2" s="297"/>
      <c r="BA2" s="297" t="s">
        <v>254</v>
      </c>
      <c r="BB2" s="297"/>
      <c r="BC2" s="297" t="s">
        <v>255</v>
      </c>
      <c r="BD2" s="297"/>
      <c r="BE2" s="297" t="s">
        <v>256</v>
      </c>
      <c r="BF2" s="297"/>
      <c r="BG2" s="297" t="s">
        <v>257</v>
      </c>
      <c r="BH2" s="297"/>
      <c r="BI2" s="297" t="s">
        <v>258</v>
      </c>
      <c r="BJ2" s="297"/>
      <c r="BK2" s="297" t="s">
        <v>259</v>
      </c>
      <c r="BL2" s="297"/>
      <c r="BM2" s="297" t="s">
        <v>260</v>
      </c>
      <c r="BN2" s="297"/>
      <c r="BO2" s="297" t="s">
        <v>261</v>
      </c>
      <c r="BP2" s="297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1.994814956521739</v>
      </c>
      <c r="AX5" s="13">
        <f>'Conduite Trp'!L8</f>
        <v>7.4256721450434791</v>
      </c>
      <c r="AY5" s="13">
        <f>'Conduite Trp'!M8</f>
        <v>9.5619097486956548</v>
      </c>
      <c r="AZ5" s="13">
        <f>'Conduite Trp'!N8</f>
        <v>9.5390567634782624</v>
      </c>
      <c r="BA5" s="13">
        <f>'Conduite Trp'!O8</f>
        <v>9.7519501294782618</v>
      </c>
      <c r="BB5" s="13">
        <f>'Conduite Trp'!P8</f>
        <v>9.2066012780000008</v>
      </c>
      <c r="BC5" s="13">
        <f>'Conduite Trp'!Q8</f>
        <v>6.6542666400000012</v>
      </c>
      <c r="BD5" s="13">
        <f>'Conduite Trp'!R8</f>
        <v>6.6542666400000012</v>
      </c>
      <c r="BE5" s="13">
        <f>'Conduite Trp'!S8</f>
        <v>6.8760755280000003</v>
      </c>
      <c r="BF5" s="13">
        <f>'Conduite Trp'!T8</f>
        <v>6.8760755280000003</v>
      </c>
      <c r="BG5" s="13">
        <f>'Conduite Trp'!U8</f>
        <v>6.8760755280000003</v>
      </c>
      <c r="BH5" s="13">
        <f>'Conduite Trp'!V8</f>
        <v>6.8760755280000003</v>
      </c>
      <c r="BI5" s="13">
        <f>'Conduite Trp'!W8</f>
        <v>6.6542666400000012</v>
      </c>
      <c r="BJ5" s="13">
        <f>'Conduite Trp'!X8</f>
        <v>6.6542666400000012</v>
      </c>
      <c r="BK5" s="13">
        <f>'Conduite Trp'!Y8</f>
        <v>5.1320283150956527</v>
      </c>
      <c r="BL5" s="13">
        <f>'Conduite Trp'!Z8</f>
        <v>6.3175624753043484</v>
      </c>
      <c r="BM5" s="13">
        <f>'Conduite Trp'!AA8</f>
        <v>3.3802724869565219</v>
      </c>
      <c r="BN5" s="13">
        <f>'Conduite Trp'!AB8</f>
        <v>3.3816290869565218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2.5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8.25</v>
      </c>
      <c r="AF7" s="61">
        <f t="shared" ref="AF7:AF26" si="1">$R7*W7</f>
        <v>7.5</v>
      </c>
      <c r="AG7" s="61">
        <f t="shared" ref="AG7:AG26" si="2">$R7*X7</f>
        <v>5.75</v>
      </c>
      <c r="AH7" s="61">
        <f t="shared" ref="AH7:AH26" si="3">$R7*Y7</f>
        <v>1.25</v>
      </c>
      <c r="AI7" s="61">
        <f t="shared" ref="AI7:AI26" si="4">$R7*Z7</f>
        <v>1.75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9.5619097486956548</v>
      </c>
      <c r="AZ7" s="61">
        <f t="shared" si="7"/>
        <v>9.5390567634782624</v>
      </c>
      <c r="BA7" s="61">
        <f t="shared" si="7"/>
        <v>9.7519501294782618</v>
      </c>
      <c r="BB7" s="61">
        <f t="shared" si="7"/>
        <v>9.2066012780000008</v>
      </c>
      <c r="BC7" s="61">
        <f t="shared" si="7"/>
        <v>6.6542666400000012</v>
      </c>
      <c r="BD7" s="61">
        <f t="shared" si="7"/>
        <v>6.6542666400000012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51.368051199652186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50.379999999999995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>
        <v>241</v>
      </c>
      <c r="R8" s="39">
        <v>0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6.8760755280000003</v>
      </c>
      <c r="BF8" s="61">
        <f t="shared" si="8"/>
        <v>6.8760755280000003</v>
      </c>
      <c r="BG8" s="61">
        <f t="shared" si="8"/>
        <v>6.8760755280000003</v>
      </c>
      <c r="BH8" s="61">
        <f t="shared" si="8"/>
        <v>6.8760755280000003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27.504302112000001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50.379999999999995</v>
      </c>
      <c r="G9" s="81"/>
      <c r="H9" s="61">
        <f>SUM(L34:L43)</f>
        <v>0</v>
      </c>
      <c r="I9" s="81"/>
      <c r="J9" s="81"/>
      <c r="K9" s="93">
        <f>H9-F9</f>
        <v>-50.379999999999995</v>
      </c>
      <c r="L9" s="81"/>
      <c r="M9" s="100"/>
      <c r="P9">
        <v>3</v>
      </c>
      <c r="Q9" s="39">
        <v>290</v>
      </c>
      <c r="R9" s="39"/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6.6542666400000012</v>
      </c>
      <c r="BJ9" s="61">
        <f t="shared" si="10"/>
        <v>6.6542666400000012</v>
      </c>
      <c r="BK9" s="61">
        <f t="shared" si="10"/>
        <v>5.1320283150956527</v>
      </c>
      <c r="BL9" s="61">
        <f t="shared" si="10"/>
        <v>6.3175624753043484</v>
      </c>
      <c r="BM9" s="61">
        <f t="shared" si="10"/>
        <v>3.3802724869565219</v>
      </c>
      <c r="BN9" s="61">
        <f t="shared" si="10"/>
        <v>3.3816290869565218</v>
      </c>
      <c r="BO9" s="61">
        <f t="shared" si="10"/>
        <v>0</v>
      </c>
      <c r="BP9" s="61">
        <f t="shared" si="10"/>
        <v>0</v>
      </c>
      <c r="BR9" s="61">
        <f t="shared" si="9"/>
        <v>31.520025644313048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0.70843895652173916</v>
      </c>
      <c r="AT10" s="61">
        <f t="shared" ref="AT10:BP10" si="11">IF(AT$4=4,AT$5,0)</f>
        <v>0.70843895652173916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0.70843895652173916</v>
      </c>
      <c r="BP10" s="61">
        <f t="shared" si="11"/>
        <v>0.70843895652173916</v>
      </c>
      <c r="BR10" s="61">
        <f t="shared" si="9"/>
        <v>2.8337558260869566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264</v>
      </c>
      <c r="R11" s="39">
        <v>0.6</v>
      </c>
      <c r="S11" s="291" t="str">
        <f>VLOOKUP($Q11,[1]MEP!$A$5:$D$300,3)</f>
        <v>PP EXCELLENTE 1  COUPE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1.8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3.8</v>
      </c>
      <c r="AE11" s="61">
        <f t="shared" si="0"/>
        <v>1.08</v>
      </c>
      <c r="AF11" s="61">
        <f t="shared" si="1"/>
        <v>0.72</v>
      </c>
      <c r="AG11" s="61">
        <f t="shared" si="2"/>
        <v>1.08</v>
      </c>
      <c r="AH11" s="61">
        <f t="shared" si="3"/>
        <v>0.3</v>
      </c>
      <c r="AI11" s="61">
        <f t="shared" si="4"/>
        <v>0.42</v>
      </c>
      <c r="AJ11" s="61">
        <f t="shared" si="5"/>
        <v>0</v>
      </c>
      <c r="AK11" s="141"/>
      <c r="AL11" s="61">
        <f t="shared" si="6"/>
        <v>2.2799999999999998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0.63988034782608705</v>
      </c>
      <c r="AV11" s="61">
        <f t="shared" si="12"/>
        <v>0.63988034782608705</v>
      </c>
      <c r="AW11" s="61">
        <f t="shared" si="12"/>
        <v>1.994814956521739</v>
      </c>
      <c r="AX11" s="61">
        <f t="shared" si="12"/>
        <v>7.4256721450434791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10.700247797217392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>
        <v>296</v>
      </c>
      <c r="R12" s="39">
        <v>3.5</v>
      </c>
      <c r="S12" s="291" t="str">
        <f>VLOOKUP($Q12,[1]MEP!$A$5:$D$300,3)</f>
        <v>PP excellente P étalé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</v>
      </c>
      <c r="X12" s="76">
        <f>VLOOKUP($Q12,[1]MEP!$A$4:$K$300,7)</f>
        <v>1.5</v>
      </c>
      <c r="Y12" s="76">
        <f>VLOOKUP($Q12,[1]MEP!$A$4:$K$300,8)</f>
        <v>1</v>
      </c>
      <c r="Z12" s="76">
        <f>VLOOKUP($Q12,[1]MEP!$A$4:$K$300,9)</f>
        <v>1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12.25</v>
      </c>
      <c r="AF12" s="61">
        <f t="shared" si="1"/>
        <v>7</v>
      </c>
      <c r="AG12" s="61">
        <f t="shared" si="2"/>
        <v>5.25</v>
      </c>
      <c r="AH12" s="61">
        <f t="shared" si="3"/>
        <v>3.5</v>
      </c>
      <c r="AI12" s="61">
        <f t="shared" si="4"/>
        <v>3.5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O13" s="3"/>
      <c r="P13">
        <v>7</v>
      </c>
      <c r="Q13" s="39">
        <v>253</v>
      </c>
      <c r="R13" s="39">
        <v>7.1</v>
      </c>
      <c r="S13" s="291" t="str">
        <f>VLOOKUP($Q13,[1]MEP!$A$5:$D$300,3)</f>
        <v>PP excellente 2 coupes précoces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1.1000000000000001</v>
      </c>
      <c r="W13" s="76">
        <f>VLOOKUP($Q13,[1]MEP!$A$4:$K$300,6)</f>
        <v>1</v>
      </c>
      <c r="X13" s="76">
        <f>VLOOKUP($Q13,[1]MEP!$A$4:$K$300,7)</f>
        <v>0.77</v>
      </c>
      <c r="Y13" s="76">
        <f>VLOOKUP($Q13,[1]MEP!$A$4:$K$300,8)</f>
        <v>0.19</v>
      </c>
      <c r="Z13" s="76">
        <f>VLOOKUP($Q13,[1]MEP!$A$4:$K$300,9)</f>
        <v>0.96</v>
      </c>
      <c r="AA13" s="76">
        <f>VLOOKUP($Q13,[1]MEP!$A$4:$K$300,10)</f>
        <v>0</v>
      </c>
      <c r="AC13" s="76">
        <f>VLOOKUP($Q13,[1]MEP!$A$4:$K$300,11)</f>
        <v>5</v>
      </c>
      <c r="AE13" s="61">
        <f t="shared" si="0"/>
        <v>7.8100000000000005</v>
      </c>
      <c r="AF13" s="61">
        <f t="shared" si="1"/>
        <v>7.1</v>
      </c>
      <c r="AG13" s="61">
        <f t="shared" si="2"/>
        <v>5.4669999999999996</v>
      </c>
      <c r="AH13" s="61">
        <f t="shared" si="3"/>
        <v>1.349</v>
      </c>
      <c r="AI13" s="61">
        <f t="shared" si="4"/>
        <v>6.8159999999999998</v>
      </c>
      <c r="AJ13" s="61">
        <f t="shared" si="5"/>
        <v>0</v>
      </c>
      <c r="AK13" s="141"/>
      <c r="AL13" s="61">
        <f t="shared" si="6"/>
        <v>35.5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0.70843895652173916</v>
      </c>
      <c r="AX15" s="13">
        <f>'Conduite Trp'!L5</f>
        <v>6.1392961450434793</v>
      </c>
      <c r="AY15" s="13">
        <f>'Conduite Trp'!M5</f>
        <v>8.3170297486956546</v>
      </c>
      <c r="AZ15" s="13">
        <f>'Conduite Trp'!N5</f>
        <v>5.9910689634782619</v>
      </c>
      <c r="BA15" s="13">
        <f>'Conduite Trp'!O5</f>
        <v>6.1350483794782615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5.409386640000001</v>
      </c>
      <c r="BE15" s="13">
        <f>'Conduite Trp'!S5</f>
        <v>5.5896995280000006</v>
      </c>
      <c r="BF15" s="13">
        <f>'Conduite Trp'!T5</f>
        <v>5.5896995280000006</v>
      </c>
      <c r="BG15" s="13">
        <f>'Conduite Trp'!U5</f>
        <v>5.5896995280000006</v>
      </c>
      <c r="BH15" s="13">
        <f>'Conduite Trp'!V5</f>
        <v>5.5896995280000006</v>
      </c>
      <c r="BI15" s="13">
        <f>'Conduite Trp'!W5</f>
        <v>5.409386640000001</v>
      </c>
      <c r="BJ15" s="13">
        <f>'Conduite Trp'!X5</f>
        <v>5.409386640000001</v>
      </c>
      <c r="BK15" s="13">
        <f>'Conduite Trp'!Y5</f>
        <v>2.5483915950956533</v>
      </c>
      <c r="BL15" s="13">
        <f>'Conduite Trp'!Z5</f>
        <v>3.6983030353043485</v>
      </c>
      <c r="BM15" s="13">
        <f>'Conduite Trp'!AA5</f>
        <v>0.73745608695652187</v>
      </c>
      <c r="BN15" s="13">
        <f>'Conduite Trp'!AB5</f>
        <v>0.71152108695652194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1.286376</v>
      </c>
      <c r="AY16" s="13">
        <f>'Conduite Trp'!M6</f>
        <v>1.24488</v>
      </c>
      <c r="AZ16" s="13">
        <f>'Conduite Trp'!N6</f>
        <v>3.5479878000000005</v>
      </c>
      <c r="BA16" s="13">
        <f>'Conduite Trp'!O6</f>
        <v>2.3305257499999996</v>
      </c>
      <c r="BB16" s="13">
        <f>'Conduite Trp'!P6</f>
        <v>3.6169017499999994</v>
      </c>
      <c r="BC16" s="13">
        <f>'Conduite Trp'!Q6</f>
        <v>1.24488</v>
      </c>
      <c r="BD16" s="13">
        <f>'Conduite Trp'!R6</f>
        <v>1.24488</v>
      </c>
      <c r="BE16" s="13">
        <f>'Conduite Trp'!S6</f>
        <v>0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1.24488</v>
      </c>
      <c r="BJ16" s="13">
        <f>'Conduite Trp'!X6</f>
        <v>1.24488</v>
      </c>
      <c r="BK16" s="13">
        <f>'Conduite Trp'!Y6</f>
        <v>1.286376</v>
      </c>
      <c r="BL16" s="13">
        <f>'Conduite Trp'!Z6</f>
        <v>0</v>
      </c>
      <c r="BM16" s="13">
        <f>'Conduite Trp'!AA6</f>
        <v>1.24488</v>
      </c>
      <c r="BN16" s="13">
        <f>'Conduite Trp'!AB6</f>
        <v>2.6701079999999999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1.286376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1.286376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1.286376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1.2972607199999999</v>
      </c>
      <c r="BL17" s="13">
        <f>'Conduite Trp'!Z7</f>
        <v>2.61925944</v>
      </c>
      <c r="BM17" s="13">
        <f>'Conduite Trp'!AA7</f>
        <v>1.3979363999999999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8.3170297486956546</v>
      </c>
      <c r="AZ19" s="61">
        <f t="shared" si="15"/>
        <v>5.9910689634782619</v>
      </c>
      <c r="BA19" s="61">
        <f t="shared" si="15"/>
        <v>6.1350483794782615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5.409386640000001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36.851619899652178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5.5896995280000006</v>
      </c>
      <c r="BF20" s="61">
        <f t="shared" si="16"/>
        <v>5.5896995280000006</v>
      </c>
      <c r="BG20" s="61">
        <f t="shared" si="16"/>
        <v>5.5896995280000006</v>
      </c>
      <c r="BH20" s="61">
        <f t="shared" si="16"/>
        <v>5.5896995280000006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22.358798112000002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5.409386640000001</v>
      </c>
      <c r="BJ21" s="61">
        <f t="shared" si="18"/>
        <v>5.409386640000001</v>
      </c>
      <c r="BK21" s="61">
        <f t="shared" si="18"/>
        <v>2.5483915950956533</v>
      </c>
      <c r="BL21" s="61">
        <f t="shared" si="18"/>
        <v>3.6983030353043485</v>
      </c>
      <c r="BM21" s="61">
        <f t="shared" si="18"/>
        <v>0.73745608695652187</v>
      </c>
      <c r="BN21" s="61">
        <f t="shared" si="18"/>
        <v>0.71152108695652194</v>
      </c>
      <c r="BO21" s="61">
        <f t="shared" si="18"/>
        <v>0</v>
      </c>
      <c r="BP21" s="61">
        <f t="shared" si="18"/>
        <v>0</v>
      </c>
      <c r="BR21" s="61">
        <f t="shared" si="17"/>
        <v>18.514445084313046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0.70843895652173916</v>
      </c>
      <c r="AT22" s="61">
        <f t="shared" ref="AT22:BP22" si="19">IF(AT$4=4,AT$15,0)</f>
        <v>0.70843895652173916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0.70843895652173916</v>
      </c>
      <c r="BP22" s="61">
        <f t="shared" si="19"/>
        <v>0.70843895652173916</v>
      </c>
      <c r="BR22" s="61">
        <f t="shared" si="17"/>
        <v>2.8337558260869566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0.63988034782608705</v>
      </c>
      <c r="AV23" s="61">
        <f t="shared" si="20"/>
        <v>0.63988034782608705</v>
      </c>
      <c r="AW23" s="61">
        <f t="shared" si="20"/>
        <v>0.70843895652173916</v>
      </c>
      <c r="AX23" s="61">
        <f t="shared" si="20"/>
        <v>6.1392961450434793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8.1274957972173922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52.89</v>
      </c>
      <c r="E24" s="61">
        <f t="shared" si="21"/>
        <v>27.395</v>
      </c>
      <c r="F24" s="61">
        <f t="shared" si="21"/>
        <v>36.552</v>
      </c>
      <c r="G24" s="61">
        <f t="shared" si="21"/>
        <v>14.855</v>
      </c>
      <c r="H24" s="61">
        <f t="shared" si="21"/>
        <v>27.345000000000002</v>
      </c>
      <c r="I24" s="61">
        <f t="shared" si="21"/>
        <v>0</v>
      </c>
      <c r="J24" s="63"/>
      <c r="K24" s="61">
        <f>AL27+AL49+AL71</f>
        <v>95.40100000000001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51.368051199652186</v>
      </c>
      <c r="E25" s="61">
        <f>BR8</f>
        <v>27.504302112000001</v>
      </c>
      <c r="F25" s="61">
        <f>BR9</f>
        <v>31.520025644313048</v>
      </c>
      <c r="G25" s="61">
        <f>BR10</f>
        <v>2.8337558260869566</v>
      </c>
      <c r="H25" s="61">
        <f>BR11</f>
        <v>10.700247797217392</v>
      </c>
      <c r="I25" s="61">
        <f>BR12</f>
        <v>0</v>
      </c>
      <c r="J25" s="63"/>
      <c r="K25" s="76">
        <f>'Conduite Trp'!C7</f>
        <v>158.19999999999999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1.5219488003478148</v>
      </c>
      <c r="E27" s="93">
        <f t="shared" si="23"/>
        <v>-0.10930211200000173</v>
      </c>
      <c r="F27" s="93">
        <f t="shared" si="23"/>
        <v>5.0319743556869518</v>
      </c>
      <c r="G27" s="93">
        <f t="shared" si="23"/>
        <v>12.021244173913043</v>
      </c>
      <c r="H27" s="93">
        <f t="shared" si="23"/>
        <v>16.644752202782612</v>
      </c>
      <c r="I27" s="93">
        <f t="shared" si="23"/>
        <v>0</v>
      </c>
      <c r="J27" s="63"/>
      <c r="K27" s="93">
        <f>K24-K25</f>
        <v>-62.798999999999978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36.89</v>
      </c>
      <c r="AF27" s="75">
        <f t="shared" ref="AF27:AJ27" si="24">SUM(AF7:AF26)</f>
        <v>22.32</v>
      </c>
      <c r="AG27" s="75">
        <f t="shared" si="24"/>
        <v>21.297000000000001</v>
      </c>
      <c r="AH27" s="75">
        <f t="shared" si="24"/>
        <v>10.149000000000001</v>
      </c>
      <c r="AI27" s="75">
        <f t="shared" si="24"/>
        <v>17.786000000000001</v>
      </c>
      <c r="AJ27" s="75">
        <f t="shared" si="24"/>
        <v>0</v>
      </c>
      <c r="AK27"/>
      <c r="AL27" s="75">
        <f>SUM(AL7:AL26)</f>
        <v>54.13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1.24488</v>
      </c>
      <c r="AZ27" s="61">
        <f t="shared" si="25"/>
        <v>3.5479878000000005</v>
      </c>
      <c r="BA27" s="61">
        <f t="shared" si="25"/>
        <v>2.3305257499999996</v>
      </c>
      <c r="BB27" s="61">
        <f t="shared" si="25"/>
        <v>3.6169017499999994</v>
      </c>
      <c r="BC27" s="61">
        <f t="shared" si="25"/>
        <v>1.24488</v>
      </c>
      <c r="BD27" s="61">
        <f t="shared" si="25"/>
        <v>1.24488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13.2300553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3.8591280000000001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2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6</v>
      </c>
      <c r="AF29" s="61">
        <f t="shared" ref="AF29:AF48" si="29">$R29*W29</f>
        <v>4</v>
      </c>
      <c r="AG29" s="61">
        <f t="shared" ref="AG29:AG48" si="30">$R29*X29</f>
        <v>3</v>
      </c>
      <c r="AH29" s="61">
        <f t="shared" ref="AH29:AH48" si="31">$R29*Y29</f>
        <v>1</v>
      </c>
      <c r="AI29" s="61">
        <f t="shared" ref="AI29:AI48" si="32">$R29*Z29</f>
        <v>1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1.24488</v>
      </c>
      <c r="BJ29" s="61">
        <f t="shared" si="35"/>
        <v>1.24488</v>
      </c>
      <c r="BK29" s="61">
        <f t="shared" si="35"/>
        <v>1.286376</v>
      </c>
      <c r="BL29" s="61">
        <f t="shared" si="35"/>
        <v>0</v>
      </c>
      <c r="BM29" s="61">
        <f t="shared" si="35"/>
        <v>1.24488</v>
      </c>
      <c r="BN29" s="61">
        <f t="shared" si="35"/>
        <v>2.6701079999999999</v>
      </c>
      <c r="BO29" s="61">
        <f t="shared" si="35"/>
        <v>0</v>
      </c>
      <c r="BP29" s="61">
        <f t="shared" si="35"/>
        <v>0</v>
      </c>
      <c r="BR29" s="61">
        <f t="shared" si="27"/>
        <v>7.6911240000000003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>
        <v>2.2999999999999998</v>
      </c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3.4499999999999997</v>
      </c>
      <c r="AF30" s="61">
        <f t="shared" si="29"/>
        <v>0</v>
      </c>
      <c r="AG30" s="61">
        <f t="shared" si="30"/>
        <v>1.7249999999999999</v>
      </c>
      <c r="AH30" s="61">
        <f t="shared" si="31"/>
        <v>1.7249999999999999</v>
      </c>
      <c r="AI30" s="61">
        <f t="shared" si="32"/>
        <v>2.4379999999999997</v>
      </c>
      <c r="AJ30" s="61">
        <f t="shared" si="33"/>
        <v>0</v>
      </c>
      <c r="AK30"/>
      <c r="AL30" s="61">
        <f t="shared" si="34"/>
        <v>7.520999999999999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1.286376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1.286376</v>
      </c>
    </row>
    <row r="32" spans="2:72" x14ac:dyDescent="0.25">
      <c r="D32" s="68" t="s">
        <v>267</v>
      </c>
      <c r="E32" s="68" t="s">
        <v>18</v>
      </c>
      <c r="F32" s="297" t="s">
        <v>276</v>
      </c>
      <c r="G32" s="297"/>
      <c r="H32" s="82"/>
      <c r="I32" s="68" t="s">
        <v>280</v>
      </c>
      <c r="J32" s="82" t="s">
        <v>280</v>
      </c>
      <c r="K32" s="297" t="s">
        <v>278</v>
      </c>
      <c r="L32" s="297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1.286376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1.286376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1.286376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1.286376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1.2972607199999999</v>
      </c>
      <c r="BL37" s="61">
        <f t="shared" si="46"/>
        <v>2.61925944</v>
      </c>
      <c r="BM37" s="61">
        <f t="shared" si="46"/>
        <v>1.3979363999999999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5.31445656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1.286376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1.286376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13.85</v>
      </c>
      <c r="AF49" s="75">
        <f t="shared" ref="AF49" si="50">SUM(AF29:AF48)</f>
        <v>4</v>
      </c>
      <c r="AG49" s="75">
        <f t="shared" ref="AG49" si="51">SUM(AG29:AG48)</f>
        <v>8.8649999999999984</v>
      </c>
      <c r="AH49" s="75">
        <f t="shared" ref="AH49" si="52">SUM(AH29:AH48)</f>
        <v>3.76</v>
      </c>
      <c r="AI49" s="75">
        <f t="shared" ref="AI49" si="53">SUM(AI29:AI48)</f>
        <v>8.6129999999999995</v>
      </c>
      <c r="AJ49" s="75">
        <f t="shared" ref="AJ49" si="54">SUM(AJ29:AJ48)</f>
        <v>0</v>
      </c>
      <c r="AK49"/>
      <c r="AL49" s="75">
        <f>SUM(AL29:AL48)</f>
        <v>41.271000000000001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36.89</v>
      </c>
      <c r="E72" s="61">
        <f t="shared" ref="E72:H72" si="69">AF27</f>
        <v>22.32</v>
      </c>
      <c r="F72" s="61">
        <f t="shared" si="69"/>
        <v>21.297000000000001</v>
      </c>
      <c r="G72" s="61">
        <f t="shared" si="69"/>
        <v>10.149000000000001</v>
      </c>
      <c r="H72" s="61">
        <f t="shared" si="69"/>
        <v>17.786000000000001</v>
      </c>
      <c r="I72" s="61">
        <f t="shared" ref="I72" si="70">AJ75+AJ97+AJ119</f>
        <v>0</v>
      </c>
      <c r="J72" s="63"/>
      <c r="K72" s="61">
        <f>+K24</f>
        <v>95.40100000000001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36.851619899652178</v>
      </c>
      <c r="E73" s="61">
        <f>BR20</f>
        <v>22.358798112000002</v>
      </c>
      <c r="F73" s="61">
        <f>BR21</f>
        <v>18.514445084313046</v>
      </c>
      <c r="G73" s="61">
        <f>BR22</f>
        <v>2.8337558260869566</v>
      </c>
      <c r="H73" s="61">
        <f>BR23</f>
        <v>8.1274957972173922</v>
      </c>
      <c r="I73" s="61">
        <f>BR60</f>
        <v>0</v>
      </c>
      <c r="J73" s="63"/>
      <c r="K73" s="76">
        <f>+K25</f>
        <v>158.19999999999999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3.8380100347822577E-2</v>
      </c>
      <c r="E75" s="93">
        <f t="shared" ref="E75:I75" si="71">E72-E73</f>
        <v>-3.879811200000205E-2</v>
      </c>
      <c r="F75" s="93">
        <f t="shared" si="71"/>
        <v>2.7825549156869549</v>
      </c>
      <c r="G75" s="93">
        <f t="shared" si="71"/>
        <v>7.3152441739130438</v>
      </c>
      <c r="H75" s="93">
        <f t="shared" si="71"/>
        <v>9.6585042027826091</v>
      </c>
      <c r="I75" s="93">
        <f t="shared" si="71"/>
        <v>0</v>
      </c>
      <c r="J75" s="63"/>
      <c r="K75" s="93">
        <f>+K27</f>
        <v>-62.798999999999978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13.85</v>
      </c>
      <c r="E82" s="61">
        <f t="shared" ref="E82:H82" si="72">AF49</f>
        <v>4</v>
      </c>
      <c r="F82" s="61">
        <f t="shared" si="72"/>
        <v>8.8649999999999984</v>
      </c>
      <c r="G82" s="61">
        <f t="shared" si="72"/>
        <v>3.76</v>
      </c>
      <c r="H82" s="61">
        <f t="shared" si="72"/>
        <v>8.6129999999999995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13.2300553</v>
      </c>
      <c r="E83" s="61">
        <f>BR28</f>
        <v>3.8591280000000001</v>
      </c>
      <c r="F83" s="61">
        <f>BR29</f>
        <v>7.6911240000000003</v>
      </c>
      <c r="G83" s="61">
        <f>BR30</f>
        <v>0</v>
      </c>
      <c r="H83" s="61">
        <f>BR31</f>
        <v>1.286376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0.61994469999999957</v>
      </c>
      <c r="E85" s="93">
        <f t="shared" ref="E85:H85" si="73">E82-E83</f>
        <v>0.14087199999999989</v>
      </c>
      <c r="F85" s="93">
        <f t="shared" si="73"/>
        <v>1.1738759999999981</v>
      </c>
      <c r="G85" s="93">
        <f t="shared" si="73"/>
        <v>3.76</v>
      </c>
      <c r="H85" s="93">
        <f t="shared" si="73"/>
        <v>7.3266239999999998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1.286376</v>
      </c>
      <c r="E93" s="61">
        <f>BR36</f>
        <v>1.286376</v>
      </c>
      <c r="F93" s="61">
        <f>BR37</f>
        <v>5.31445656</v>
      </c>
      <c r="G93" s="61">
        <f>BR38</f>
        <v>0</v>
      </c>
      <c r="H93" s="61">
        <f>BR39</f>
        <v>1.286376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0.86362399999999995</v>
      </c>
      <c r="E95" s="93">
        <f t="shared" ref="E95:H95" si="75">E92-E93</f>
        <v>-0.21137600000000001</v>
      </c>
      <c r="F95" s="93">
        <f t="shared" si="75"/>
        <v>1.0755434399999997</v>
      </c>
      <c r="G95" s="93">
        <f t="shared" si="75"/>
        <v>0.94599999999999995</v>
      </c>
      <c r="H95" s="93">
        <f t="shared" si="75"/>
        <v>-0.34037600000000001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7" sqref="A7:XFD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7" sqref="O16:Q17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</v>
      </c>
      <c r="L2" s="8">
        <f t="shared" ref="L2:L33" si="0">IF(J2=$Y$6,K2*$AA$6,IF(J2=$Y$7,K2*$AA$7,IF(J2=$Y$8,K2*$AA$8,"")))</f>
        <v>0</v>
      </c>
      <c r="M2" s="10">
        <f>IF(I2=$Y$11,SQRT(L2*10000),SQRT(Parcellaire!L2*10000)/$AC$12)</f>
        <v>0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0</v>
      </c>
      <c r="U2" s="10">
        <f t="shared" ref="U2:U39" si="5">IF(C2=2,Q2*M2,0)</f>
        <v>0</v>
      </c>
      <c r="V2" s="27">
        <f t="shared" ref="V2:V39" si="6"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</v>
      </c>
      <c r="L3" s="8">
        <f t="shared" ref="L3:L24" si="8">IF(J3=$Y$6,K3*$AA$6,IF(J3=$Y$7,K3*$AA$7,IF(J3=$Y$8,K3*$AA$8,"")))</f>
        <v>0</v>
      </c>
      <c r="M3" s="10">
        <f>IF(I3=$Y$11,SQRT(L3*10000),SQRT(Parcellaire!L3*10000)/$AC$12)</f>
        <v>0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0</v>
      </c>
      <c r="L6" s="8">
        <f t="shared" si="8"/>
        <v>0</v>
      </c>
      <c r="M6" s="10">
        <f>IF(I6=$Y$11,SQRT(L6*10000),SQRT(Parcellaire!L6*10000)/$AC$12)</f>
        <v>0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2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0</v>
      </c>
      <c r="L7" s="8">
        <f t="shared" si="8"/>
        <v>0</v>
      </c>
      <c r="M7" s="10">
        <f>IF(I7=$Y$11,SQRT(L7*10000),SQRT(Parcellaire!L7*10000)/$AC$12)</f>
        <v>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0</v>
      </c>
      <c r="U7" s="10">
        <f t="shared" si="5"/>
        <v>0</v>
      </c>
      <c r="V7" s="27">
        <f t="shared" si="6"/>
        <v>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4316.8910700990891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f t="shared" ref="Q20:Q65" si="15">O20-P20</f>
        <v>6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4316.8910700990891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f t="shared" si="15"/>
        <v>6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2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0</v>
      </c>
      <c r="L22" s="8">
        <f t="shared" si="8"/>
        <v>0</v>
      </c>
      <c r="M22" s="10">
        <f>IF(I22=$Y$11,SQRT(L22*10000),SQRT(Parcellaire!L22*10000)/$AC$12)</f>
        <v>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  <c r="V22" s="27">
        <f t="shared" si="6"/>
        <v>0</v>
      </c>
      <c r="W22" s="3"/>
      <c r="X22" s="3"/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0</v>
      </c>
      <c r="L23" s="8">
        <f t="shared" si="8"/>
        <v>0</v>
      </c>
      <c r="M23" s="10">
        <f>IF(I23=$Y$11,SQRT(L23*10000),SQRT(Parcellaire!L23*10000)/$AC$12)</f>
        <v>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  <c r="V23" s="27">
        <f t="shared" si="6"/>
        <v>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si="15"/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18.7</v>
      </c>
      <c r="H66" s="170"/>
      <c r="I66" s="170">
        <f>SUMIF(Parcellaire!$B$2:$B$65,1,Parcellaire!I2:I65)</f>
        <v>28</v>
      </c>
      <c r="J66" s="170">
        <f>SUMIF(Parcellaire!$B$2:$B$65,1,Parcellaire!J2:J65)</f>
        <v>6</v>
      </c>
      <c r="K66" s="170">
        <f>SUMIF(Parcellaire!$B$2:$B$65,1,Parcellaire!K2:K65)</f>
        <v>19.8</v>
      </c>
      <c r="L66" s="170">
        <f>SUMIF(Parcellaire!$B$2:$B$65,1,Parcellaire!L2:L65)</f>
        <v>21.480000000000004</v>
      </c>
      <c r="M66" s="170">
        <f>SUMIF(Parcellaire!$B$2:$B$65,1,Parcellaire!M2:M65)</f>
        <v>959.30912668868621</v>
      </c>
      <c r="N66" s="170">
        <f>SUMIF(Parcellaire!$B$2:$B$65,1,Parcellaire!N2:N65)</f>
        <v>66</v>
      </c>
      <c r="O66" s="170">
        <f>SUMIF(Parcellaire!$B$2:$B$65,1,Parcellaire!O2:O65)</f>
        <v>54</v>
      </c>
      <c r="P66" s="170">
        <f>SUMIF(Parcellaire!$B$2:$B$65,1,Parcellaire!P2:P65)</f>
        <v>0</v>
      </c>
      <c r="Q66" s="170">
        <f>SUMIF(Parcellaire!$B$2:$B$65,1,Parcellaire!Q2:Q65)</f>
        <v>27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4316.8910700990891</v>
      </c>
      <c r="U66" s="170">
        <f>SUMIF(Parcellaire!$B$2:$B$65,1,Parcellaire!U2:U65)</f>
        <v>2877.927380066059</v>
      </c>
      <c r="V66" s="170">
        <f>SUMIF(Parcellaire!$B$2:$B$65,1,Parcellaire!V2:V65)</f>
        <v>5755.8547601321179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7" t="s">
        <v>2</v>
      </c>
      <c r="C64" s="297"/>
      <c r="D64" s="297" t="s">
        <v>0</v>
      </c>
      <c r="E64" s="297"/>
      <c r="F64" s="297" t="s">
        <v>1</v>
      </c>
      <c r="G64" s="297"/>
      <c r="H64" s="297" t="s">
        <v>3</v>
      </c>
      <c r="I64" s="297"/>
      <c r="J64" s="297" t="s">
        <v>4</v>
      </c>
      <c r="K64" s="297"/>
      <c r="L64" s="297" t="s">
        <v>5</v>
      </c>
      <c r="M64" s="297"/>
      <c r="N64" s="297" t="s">
        <v>6</v>
      </c>
      <c r="O64" s="297"/>
      <c r="P64" s="297" t="s">
        <v>7</v>
      </c>
      <c r="Q64" s="297"/>
      <c r="R64" s="297" t="s">
        <v>8</v>
      </c>
      <c r="S64" s="297"/>
      <c r="T64" s="297" t="s">
        <v>9</v>
      </c>
      <c r="U64" s="297"/>
      <c r="V64" s="297" t="s">
        <v>10</v>
      </c>
      <c r="W64" s="297"/>
      <c r="X64" s="297" t="s">
        <v>11</v>
      </c>
      <c r="Y64" s="297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7" t="s">
        <v>2</v>
      </c>
      <c r="C90" s="297"/>
      <c r="D90" s="297" t="s">
        <v>0</v>
      </c>
      <c r="E90" s="297"/>
      <c r="F90" s="297" t="s">
        <v>1</v>
      </c>
      <c r="G90" s="297"/>
      <c r="H90" s="297" t="s">
        <v>3</v>
      </c>
      <c r="I90" s="297"/>
      <c r="J90" s="297" t="s">
        <v>4</v>
      </c>
      <c r="K90" s="297"/>
      <c r="L90" s="297" t="s">
        <v>5</v>
      </c>
      <c r="M90" s="297"/>
      <c r="N90" s="297" t="s">
        <v>6</v>
      </c>
      <c r="O90" s="297"/>
      <c r="P90" s="297" t="s">
        <v>7</v>
      </c>
      <c r="Q90" s="297"/>
      <c r="R90" s="297" t="s">
        <v>8</v>
      </c>
      <c r="S90" s="297"/>
      <c r="T90" s="297" t="s">
        <v>9</v>
      </c>
      <c r="U90" s="297"/>
      <c r="V90" s="297" t="s">
        <v>10</v>
      </c>
      <c r="W90" s="297"/>
      <c r="X90" s="297" t="s">
        <v>11</v>
      </c>
      <c r="Y90" s="297"/>
      <c r="AC90" t="s">
        <v>429</v>
      </c>
      <c r="AD90" s="297" t="s">
        <v>2</v>
      </c>
      <c r="AE90" s="297"/>
      <c r="AF90" s="297" t="s">
        <v>0</v>
      </c>
      <c r="AG90" s="297"/>
      <c r="AH90" s="297" t="s">
        <v>1</v>
      </c>
      <c r="AI90" s="297"/>
      <c r="AJ90" s="297" t="s">
        <v>3</v>
      </c>
      <c r="AK90" s="297"/>
      <c r="AL90" s="297" t="s">
        <v>4</v>
      </c>
      <c r="AM90" s="297"/>
      <c r="AN90" s="297" t="s">
        <v>5</v>
      </c>
      <c r="AO90" s="297"/>
      <c r="AP90" s="297" t="s">
        <v>6</v>
      </c>
      <c r="AQ90" s="297"/>
      <c r="AR90" s="297" t="s">
        <v>7</v>
      </c>
      <c r="AS90" s="297"/>
      <c r="AT90" s="297" t="s">
        <v>8</v>
      </c>
      <c r="AU90" s="297"/>
      <c r="AV90" s="297" t="s">
        <v>9</v>
      </c>
      <c r="AW90" s="297"/>
      <c r="AX90" s="297" t="s">
        <v>10</v>
      </c>
      <c r="AY90" s="297"/>
      <c r="AZ90" s="297" t="s">
        <v>11</v>
      </c>
      <c r="BA90" s="297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7" t="s">
        <v>2</v>
      </c>
      <c r="C117" s="297"/>
      <c r="D117" s="297" t="s">
        <v>0</v>
      </c>
      <c r="E117" s="297"/>
      <c r="F117" s="297" t="s">
        <v>1</v>
      </c>
      <c r="G117" s="297"/>
      <c r="H117" s="297" t="s">
        <v>3</v>
      </c>
      <c r="I117" s="297"/>
      <c r="J117" s="297" t="s">
        <v>4</v>
      </c>
      <c r="K117" s="297"/>
      <c r="L117" s="297" t="s">
        <v>5</v>
      </c>
      <c r="M117" s="297"/>
      <c r="N117" s="297" t="s">
        <v>6</v>
      </c>
      <c r="O117" s="297"/>
      <c r="P117" s="297" t="s">
        <v>7</v>
      </c>
      <c r="Q117" s="297"/>
      <c r="R117" s="297" t="s">
        <v>8</v>
      </c>
      <c r="S117" s="297"/>
      <c r="T117" s="297" t="s">
        <v>9</v>
      </c>
      <c r="U117" s="297"/>
      <c r="V117" s="297" t="s">
        <v>10</v>
      </c>
      <c r="W117" s="297"/>
      <c r="X117" s="297" t="s">
        <v>11</v>
      </c>
      <c r="Y117" s="297"/>
      <c r="AD117" s="297" t="s">
        <v>2</v>
      </c>
      <c r="AE117" s="297"/>
      <c r="AF117" s="297" t="s">
        <v>0</v>
      </c>
      <c r="AG117" s="297"/>
      <c r="AH117" s="297" t="s">
        <v>1</v>
      </c>
      <c r="AI117" s="297"/>
      <c r="AJ117" s="297" t="s">
        <v>3</v>
      </c>
      <c r="AK117" s="297"/>
      <c r="AL117" s="297" t="s">
        <v>4</v>
      </c>
      <c r="AM117" s="297"/>
      <c r="AN117" s="297" t="s">
        <v>5</v>
      </c>
      <c r="AO117" s="297"/>
      <c r="AP117" s="297" t="s">
        <v>6</v>
      </c>
      <c r="AQ117" s="297"/>
      <c r="AR117" s="297" t="s">
        <v>7</v>
      </c>
      <c r="AS117" s="297"/>
      <c r="AT117" s="297" t="s">
        <v>8</v>
      </c>
      <c r="AU117" s="297"/>
      <c r="AV117" s="297" t="s">
        <v>9</v>
      </c>
      <c r="AW117" s="297"/>
      <c r="AX117" s="297" t="s">
        <v>10</v>
      </c>
      <c r="AY117" s="297"/>
      <c r="AZ117" s="297" t="s">
        <v>11</v>
      </c>
      <c r="BA117" s="297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2023-01-09T10:06:07Z</dcterms:modified>
</cp:coreProperties>
</file>