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33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BA8" i="29"/>
  <c r="BB8" i="29"/>
  <c r="BC8" i="29"/>
  <c r="AV9" i="29"/>
  <c r="AW9" i="29"/>
  <c r="AX9" i="29"/>
  <c r="AY9" i="29"/>
  <c r="BD9" i="29" s="1"/>
  <c r="BE9" i="29" s="1"/>
  <c r="BF9" i="29" s="1"/>
  <c r="AZ9" i="29"/>
  <c r="BA9" i="29"/>
  <c r="BB9" i="29"/>
  <c r="BC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AX21" i="29"/>
  <c r="AY21" i="29"/>
  <c r="AZ21" i="29"/>
  <c r="BA21" i="29"/>
  <c r="BB21" i="29"/>
  <c r="BC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BA24" i="29"/>
  <c r="BB24" i="29"/>
  <c r="BC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H25" i="29"/>
  <c r="BI25" i="29"/>
  <c r="BJ25" i="29"/>
  <c r="BK25" i="29"/>
  <c r="BL25" i="29"/>
  <c r="BG2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CT108" i="30" s="1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8" i="30"/>
  <c r="BR108" i="30"/>
  <c r="BQ108" i="30"/>
  <c r="AZ108" i="30"/>
  <c r="AY108" i="30"/>
  <c r="AX108" i="30"/>
  <c r="AW108" i="30"/>
  <c r="AV108" i="30"/>
  <c r="BS106" i="30"/>
  <c r="BR106" i="30"/>
  <c r="BQ106" i="30"/>
  <c r="BP106" i="30"/>
  <c r="AX106" i="30"/>
  <c r="AW106" i="30"/>
  <c r="AV106" i="30"/>
  <c r="AU105" i="30"/>
  <c r="BO109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J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O76" i="30"/>
  <c r="N76" i="30"/>
  <c r="M76" i="30"/>
  <c r="G76" i="30"/>
  <c r="O75" i="30"/>
  <c r="N75" i="30"/>
  <c r="M75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U33" i="29"/>
  <c r="M33" i="29"/>
  <c r="L33" i="29"/>
  <c r="K33" i="29"/>
  <c r="J33" i="29"/>
  <c r="I33" i="29"/>
  <c r="C33" i="29"/>
  <c r="V31" i="29"/>
  <c r="U31" i="29"/>
  <c r="M31" i="29"/>
  <c r="L31" i="29"/>
  <c r="K31" i="29"/>
  <c r="J31" i="29"/>
  <c r="I31" i="29"/>
  <c r="C31" i="29"/>
  <c r="Z30" i="29"/>
  <c r="Y30" i="29"/>
  <c r="V30" i="29"/>
  <c r="U30" i="29"/>
  <c r="M30" i="29"/>
  <c r="L30" i="29"/>
  <c r="K30" i="29"/>
  <c r="J30" i="29"/>
  <c r="I30" i="29"/>
  <c r="D30" i="29"/>
  <c r="C30" i="29"/>
  <c r="Z29" i="29"/>
  <c r="Y29" i="29"/>
  <c r="V29" i="29"/>
  <c r="U29" i="29"/>
  <c r="M29" i="29"/>
  <c r="L29" i="29"/>
  <c r="K29" i="29"/>
  <c r="J29" i="29"/>
  <c r="I29" i="29"/>
  <c r="D29" i="29"/>
  <c r="C29" i="29"/>
  <c r="K12" i="29"/>
  <c r="J12" i="29"/>
  <c r="I12" i="29"/>
  <c r="F12" i="29"/>
  <c r="E12" i="29"/>
  <c r="D12" i="29"/>
  <c r="C12" i="29"/>
  <c r="K10" i="29"/>
  <c r="J10" i="29"/>
  <c r="I10" i="29"/>
  <c r="F10" i="29"/>
  <c r="E10" i="29"/>
  <c r="D10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BD86" i="30" l="1"/>
  <c r="AZ87" i="30"/>
  <c r="BR87" i="30"/>
  <c r="AX87" i="30"/>
  <c r="CH87" i="30"/>
  <c r="CH86" i="30"/>
  <c r="AV86" i="30"/>
  <c r="CJ86" i="30"/>
  <c r="BB86" i="30"/>
  <c r="BC86" i="30"/>
  <c r="AY87" i="30"/>
  <c r="BS87" i="30"/>
  <c r="CI86" i="30"/>
  <c r="CI87" i="30"/>
  <c r="AW86" i="30"/>
  <c r="BQ86" i="30"/>
  <c r="BA87" i="30"/>
  <c r="CK86" i="30"/>
  <c r="CK87" i="30"/>
  <c r="AX86" i="30"/>
  <c r="BR86" i="30"/>
  <c r="BB87" i="30"/>
  <c r="CT86" i="30"/>
  <c r="CT87" i="30"/>
  <c r="CM107" i="30"/>
  <c r="AY86" i="30"/>
  <c r="BS86" i="30"/>
  <c r="BC87" i="30"/>
  <c r="CU86" i="30"/>
  <c r="CU87" i="30"/>
  <c r="AZ86" i="30"/>
  <c r="AV87" i="30"/>
  <c r="BD87" i="30"/>
  <c r="CV86" i="30"/>
  <c r="CV87" i="30"/>
  <c r="BA86" i="30"/>
  <c r="AW87" i="30"/>
  <c r="BQ87" i="30"/>
  <c r="CG86" i="30"/>
  <c r="CW86" i="30"/>
  <c r="CG87" i="30"/>
  <c r="CW87" i="30"/>
  <c r="BH106" i="30"/>
  <c r="BH108" i="30"/>
  <c r="CE108" i="30"/>
  <c r="CU108" i="30"/>
  <c r="CU107" i="30"/>
  <c r="AZ109" i="30"/>
  <c r="CM106" i="30"/>
  <c r="AZ106" i="30"/>
  <c r="BP109" i="30"/>
  <c r="CU106" i="30"/>
  <c r="BA106" i="30"/>
  <c r="BI106" i="30"/>
  <c r="BA108" i="30"/>
  <c r="BI108" i="30"/>
  <c r="BA109" i="30"/>
  <c r="BQ109" i="30"/>
  <c r="CN106" i="30"/>
  <c r="CV107" i="30"/>
  <c r="CF108" i="30"/>
  <c r="CV108" i="30"/>
  <c r="BB106" i="30"/>
  <c r="BJ106" i="30"/>
  <c r="BB107" i="30"/>
  <c r="BB108" i="30"/>
  <c r="BJ108" i="30"/>
  <c r="BB109" i="30"/>
  <c r="BR109" i="30"/>
  <c r="CO106" i="30"/>
  <c r="CW107" i="30"/>
  <c r="CG108" i="30"/>
  <c r="CW108" i="30"/>
  <c r="BC106" i="30"/>
  <c r="BK106" i="30"/>
  <c r="BC107" i="30"/>
  <c r="BC108" i="30"/>
  <c r="BK108" i="30"/>
  <c r="BC109" i="30"/>
  <c r="BS109" i="30"/>
  <c r="CH106" i="30"/>
  <c r="CP106" i="30"/>
  <c r="CH107" i="30"/>
  <c r="CH108" i="30"/>
  <c r="CP108" i="30"/>
  <c r="BD106" i="30"/>
  <c r="BL106" i="30"/>
  <c r="AV107" i="30"/>
  <c r="BD107" i="30"/>
  <c r="BD108" i="30"/>
  <c r="BL108" i="30"/>
  <c r="AV109" i="30"/>
  <c r="BD109" i="30"/>
  <c r="CI106" i="30"/>
  <c r="CQ106" i="30"/>
  <c r="CI107" i="30"/>
  <c r="CI108" i="30"/>
  <c r="CQ108" i="30"/>
  <c r="BE106" i="30"/>
  <c r="BM106" i="30"/>
  <c r="AW107" i="30"/>
  <c r="BE108" i="30"/>
  <c r="BM108" i="30"/>
  <c r="AW109" i="30"/>
  <c r="CJ106" i="30"/>
  <c r="CR106" i="30"/>
  <c r="CJ107" i="30"/>
  <c r="CJ108" i="30"/>
  <c r="CR108" i="30"/>
  <c r="BF106" i="30"/>
  <c r="BN106" i="30"/>
  <c r="AX107" i="30"/>
  <c r="BF108" i="30"/>
  <c r="BN108" i="30"/>
  <c r="AX109" i="30"/>
  <c r="CK106" i="30"/>
  <c r="CS106" i="30"/>
  <c r="CK107" i="30"/>
  <c r="CK108" i="30"/>
  <c r="CS108" i="30"/>
  <c r="AY106" i="30"/>
  <c r="BG106" i="30"/>
  <c r="BO106" i="30"/>
  <c r="AY107" i="30"/>
  <c r="BG108" i="30"/>
  <c r="AY109" i="30"/>
  <c r="CL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O92" i="30" s="1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16" i="30" l="1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8" i="29" s="1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C187" i="33"/>
  <c r="D187" i="33" s="1"/>
  <c r="AJ218" i="33" s="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P8" i="29" s="1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25" i="29"/>
  <c r="U26" i="29"/>
  <c r="U25" i="29"/>
  <c r="C3" i="29"/>
  <c r="C201" i="29" s="1"/>
  <c r="S25" i="29"/>
  <c r="S29" i="29" s="1"/>
  <c r="F5" i="29"/>
  <c r="F20" i="29"/>
  <c r="F21" i="29" s="1"/>
  <c r="F7" i="29" s="1"/>
  <c r="F4" i="29"/>
  <c r="F3" i="29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R8" i="29" s="1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W26" i="30"/>
  <c r="CW60" i="30" s="1"/>
  <c r="CW106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X235" i="31"/>
  <c r="C308" i="33" s="1"/>
  <c r="T258" i="31"/>
  <c r="U258" i="31" s="1"/>
  <c r="X236" i="31"/>
  <c r="C309" i="33" s="1"/>
  <c r="T275" i="31"/>
  <c r="X275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C191" i="33" l="1"/>
  <c r="T256" i="31"/>
  <c r="U256" i="31" s="1"/>
  <c r="T257" i="31"/>
  <c r="U257" i="31" s="1"/>
  <c r="T260" i="31"/>
  <c r="U260" i="31" s="1"/>
  <c r="U8" i="29"/>
  <c r="U201" i="29" s="1"/>
  <c r="Q8" i="29"/>
  <c r="L8" i="29"/>
  <c r="L201" i="29" s="1"/>
  <c r="AF187" i="31"/>
  <c r="H8" i="29"/>
  <c r="W8" i="29"/>
  <c r="W201" i="29" s="1"/>
  <c r="V8" i="29"/>
  <c r="V201" i="29" s="1"/>
  <c r="Y8" i="29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N201" i="29"/>
  <c r="P201" i="29"/>
  <c r="I201" i="29"/>
  <c r="Q201" i="29"/>
  <c r="M201" i="29"/>
  <c r="K201" i="29"/>
  <c r="U167" i="28"/>
  <c r="V167" i="28"/>
  <c r="W167" i="28"/>
  <c r="AF188" i="28"/>
  <c r="V188" i="28"/>
  <c r="W188" i="28"/>
  <c r="AN215" i="33"/>
  <c r="AK226" i="33"/>
  <c r="AO226" i="33" s="1"/>
  <c r="C6" i="29"/>
  <c r="C181" i="29"/>
  <c r="C196" i="29" s="1"/>
  <c r="S59" i="29"/>
  <c r="V196" i="31"/>
  <c r="U188" i="31"/>
  <c r="AI184" i="28"/>
  <c r="AG196" i="31"/>
  <c r="AG188" i="31"/>
  <c r="V164" i="31"/>
  <c r="AI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S57" i="29"/>
  <c r="AE177" i="31"/>
  <c r="U172" i="31"/>
  <c r="CI60" i="30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CG73" i="30"/>
  <c r="AW61" i="30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I187" i="28" l="1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F86" i="30"/>
  <c r="CF87" i="30"/>
  <c r="CE86" i="30"/>
  <c r="CE87" i="30"/>
  <c r="CD87" i="30"/>
  <c r="CD86" i="30"/>
  <c r="CC87" i="30"/>
  <c r="CC86" i="30"/>
  <c r="CB86" i="30"/>
  <c r="CB87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J154" i="31" l="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L210" i="33" l="1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BM178" i="33" l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147" i="33" l="1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O86" i="30" l="1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AJ8" i="29" s="1"/>
  <c r="D203" i="29"/>
  <c r="AJ5" i="29" s="1"/>
  <c r="X249" i="31" s="1"/>
  <c r="BO102" i="30"/>
  <c r="Z9" i="30" s="1"/>
  <c r="Z13" i="30" s="1"/>
  <c r="F13" i="30" s="1"/>
  <c r="B39" i="18"/>
  <c r="B81" i="30" l="1"/>
  <c r="F81" i="30" s="1"/>
  <c r="B114" i="30" s="1"/>
  <c r="F76" i="30"/>
  <c r="F75" i="30"/>
  <c r="T245" i="31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X245" i="31" l="1"/>
  <c r="C189" i="33"/>
  <c r="D189" i="33" s="1"/>
  <c r="AK189" i="33" s="1"/>
  <c r="AO189" i="33" s="1"/>
  <c r="AO192" i="33" s="1"/>
  <c r="C277" i="33"/>
  <c r="D277" i="33" s="1"/>
  <c r="C193" i="33"/>
  <c r="D193" i="33" s="1"/>
  <c r="C278" i="33"/>
  <c r="B113" i="30"/>
  <c r="B125" i="30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8" i="33" l="1"/>
  <c r="D291" i="33" s="1"/>
  <c r="C291" i="33"/>
  <c r="AL208" i="33"/>
  <c r="AL209" i="33"/>
  <c r="AL207" i="33" s="1"/>
  <c r="D210" i="33" s="1"/>
  <c r="X248" i="31"/>
  <c r="J141" i="31"/>
  <c r="C219" i="33" s="1"/>
  <c r="D219" i="33" s="1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2" i="7"/>
  <c r="U25" i="7"/>
  <c r="U27" i="7"/>
  <c r="U28" i="7"/>
  <c r="U29" i="7"/>
  <c r="U30" i="7"/>
  <c r="U36" i="7"/>
  <c r="U37" i="7"/>
  <c r="S2" i="7"/>
  <c r="BA4" i="29" s="1"/>
  <c r="S3" i="7"/>
  <c r="S5" i="7"/>
  <c r="S6" i="7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T6" i="7"/>
  <c r="T7" i="7"/>
  <c r="T15" i="7"/>
  <c r="T10" i="7"/>
  <c r="V22" i="7"/>
  <c r="T22" i="7"/>
  <c r="V11" i="7"/>
  <c r="U11" i="7"/>
  <c r="V12" i="7"/>
  <c r="U12" i="7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S17" i="7"/>
  <c r="BA19" i="29" s="1"/>
  <c r="R17" i="7"/>
  <c r="S10" i="7"/>
  <c r="R10" i="7"/>
  <c r="S22" i="7"/>
  <c r="R22" i="7"/>
  <c r="R12" i="7"/>
  <c r="S12" i="7"/>
  <c r="R11" i="7"/>
  <c r="S11" i="7"/>
  <c r="R15" i="7"/>
  <c r="S15" i="7"/>
  <c r="R23" i="7"/>
  <c r="S23" i="7"/>
  <c r="U35" i="7"/>
  <c r="M25" i="7"/>
  <c r="T3" i="7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R36" i="7"/>
  <c r="S36" i="7"/>
  <c r="R19" i="7"/>
  <c r="S19" i="7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T272" i="31" s="1"/>
  <c r="X272" i="31" s="1"/>
  <c r="J142" i="31" s="1"/>
  <c r="C220" i="33" s="1"/>
  <c r="B83" i="30"/>
  <c r="F83" i="30" s="1"/>
  <c r="AK26" i="29"/>
  <c r="C184" i="33" s="1"/>
  <c r="X234" i="31"/>
  <c r="C307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C185" i="33"/>
  <c r="D185" i="33" s="1"/>
  <c r="D184" i="33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D183" i="33"/>
  <c r="AJ216" i="33" s="1"/>
  <c r="AN216" i="33" s="1"/>
  <c r="D220" i="33" s="1"/>
  <c r="J170" i="31"/>
  <c r="C243" i="33"/>
  <c r="D243" i="33" s="1"/>
  <c r="Z237" i="31"/>
  <c r="AA237" i="31" s="1"/>
  <c r="C244" i="33" s="1"/>
  <c r="BR39" i="23"/>
  <c r="H93" i="23" s="1"/>
  <c r="H95" i="2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192" i="33" l="1"/>
  <c r="D235" i="33" s="1"/>
  <c r="D236" i="33" s="1"/>
  <c r="AK225" i="33"/>
  <c r="AO225" i="33" s="1"/>
  <c r="AO228" i="33" s="1"/>
  <c r="AQ228" i="33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<sst xmlns="http://schemas.openxmlformats.org/spreadsheetml/2006/main" count="3098" uniqueCount="1464">
  <si>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</si>
  <si>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</si>
  <si>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</si>
  <si>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</si>
  <si>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</si>
  <si>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</si>
  <si>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</si>
  <si>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</si>
  <si>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</si>
  <si>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</si>
  <si>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</si>
  <si>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</si>
  <si>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</si>
  <si>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</si>
  <si>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</si>
  <si>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</si>
  <si>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</si>
  <si>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</si>
  <si>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</si>
  <si>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</si>
  <si>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</si>
  <si>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</si>
  <si>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</si>
  <si>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</si>
  <si>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</si>
  <si>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</si>
  <si>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</si>
  <si>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</si>
  <si>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</si>
  <si>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</si>
  <si>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</si>
  <si>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</si>
  <si>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</si>
  <si>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</si>
  <si>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</si>
  <si>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</si>
  <si>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</si>
  <si>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</si>
  <si>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</si>
  <si>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</si>
  <si>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</si>
  <si>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</si>
  <si>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</si>
  <si>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</si>
  <si>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</si>
  <si>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</si>
  <si>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</si>
  <si>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</si>
  <si>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</si>
  <si>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</si>
  <si>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</si>
  <si>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</si>
  <si>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</si>
  <si>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</si>
  <si>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</si>
  <si>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</si>
  <si>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</si>
  <si>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</si>
  <si>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</si>
  <si>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</si>
  <si>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</si>
  <si>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</si>
  <si>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</si>
  <si>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</si>
  <si>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</si>
  <si>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</si>
  <si>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</si>
  <si>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</si>
  <si>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</si>
  <si>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</si>
  <si>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</si>
  <si>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</si>
  <si>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</si>
  <si>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</si>
  <si>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</si>
  <si>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</si>
  <si>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</si>
  <si>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</si>
  <si>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</si>
  <si>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</si>
  <si>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</si>
  <si>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</si>
  <si>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</si>
  <si>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</si>
  <si>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</si>
  <si>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</si>
  <si>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</si>
  <si>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</si>
  <si>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</si>
  <si>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</si>
  <si>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</si>
  <si>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</si>
  <si>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</si>
  <si>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</si>
  <si>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</si>
  <si>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</si>
  <si>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</si>
  <si>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</si>
  <si>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</si>
  <si>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</si>
  <si>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</si>
  <si>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</si>
  <si>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</si>
  <si>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</si>
  <si>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</si>
  <si>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</si>
  <si>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</si>
  <si>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</si>
  <si>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</si>
  <si>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</si>
  <si>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</si>
  <si>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</si>
  <si>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</si>
  <si>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</si>
  <si>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</si>
  <si>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</si>
  <si>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</si>
  <si>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</si>
  <si>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</si>
  <si>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</si>
  <si>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</si>
  <si>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</si>
  <si>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</si>
  <si>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</si>
  <si>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</si>
  <si>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</si>
  <si>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</si>
  <si>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</si>
  <si>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</si>
  <si>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</si>
  <si>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</si>
  <si>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</si>
  <si>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</si>
  <si>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</si>
  <si>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</si>
  <si>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</si>
  <si>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</si>
  <si>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</si>
  <si>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</si>
  <si>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</si>
  <si>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</si>
  <si>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</si>
  <si>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</si>
  <si>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</si>
  <si>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</si>
  <si>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</si>
  <si>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</si>
  <si>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</si>
  <si>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</si>
  <si>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</si>
  <si>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</si>
  <si>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</si>
  <si>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</si>
  <si>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</si>
  <si>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</si>
  <si>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</si>
  <si>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</si>
  <si>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</si>
  <si>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</si>
  <si>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</si>
  <si>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</si>
  <si>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</si>
  <si>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</si>
  <si>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</si>
  <si>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</si>
  <si>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</si>
  <si>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</si>
  <si>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</si>
  <si>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</si>
  <si>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</si>
  <si>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</si>
  <si>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</si>
  <si>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</si>
  <si>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</si>
  <si>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</si>
  <si>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</si>
  <si>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</si>
  <si>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</si>
  <si>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</si>
  <si>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</si>
  <si>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</si>
  <si>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</si>
  <si>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</si>
  <si>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</si>
  <si>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</si>
  <si>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</si>
  <si>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</si>
  <si>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</si>
  <si>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</si>
  <si>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</si>
  <si>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</si>
  <si>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</si>
  <si>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</si>
  <si>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</si>
  <si>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</si>
  <si>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</si>
  <si>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</si>
  <si>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</si>
  <si>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</si>
  <si>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</si>
  <si>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</si>
  <si>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</si>
  <si>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</si>
  <si>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</si>
  <si>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</si>
  <si>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</si>
  <si>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</si>
  <si>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</si>
  <si>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</si>
  <si>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</si>
  <si>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</si>
  <si>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</si>
  <si>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</si>
  <si>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</si>
  <si>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</si>
  <si>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</si>
  <si>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</si>
  <si>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</si>
  <si>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</si>
  <si>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</si>
  <si>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</si>
  <si>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</si>
  <si>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</si>
  <si>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</si>
  <si>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</si>
  <si>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</si>
  <si>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</si>
  <si>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</si>
  <si>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</si>
  <si>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</si>
  <si>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</si>
  <si>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</si>
  <si>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</si>
  <si>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</si>
  <si>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</si>
  <si>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</si>
  <si>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</si>
  <si>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</si>
  <si>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</si>
  <si>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</si>
  <si>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</si>
  <si>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</si>
  <si>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</si>
  <si>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</si>
  <si>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</si>
  <si>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</si>
  <si>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</si>
  <si>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</si>
  <si>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</si>
  <si>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</si>
  <si>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</si>
  <si>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</si>
  <si>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</si>
  <si>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</si>
  <si>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</si>
  <si>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</si>
  <si>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</si>
  <si>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</si>
  <si>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</si>
  <si>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</si>
  <si>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</si>
  <si>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</si>
  <si>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</si>
  <si>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</si>
  <si>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</si>
  <si>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</si>
  <si>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</si>
  <si>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</si>
  <si>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</si>
  <si>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</si>
  <si>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</si>
  <si>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</si>
  <si>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</si>
  <si>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</si>
  <si>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</si>
  <si>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</si>
  <si>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</si>
  <si>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</si>
  <si>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</si>
  <si>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</si>
  <si>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</si>
  <si>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</si>
  <si>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</si>
  <si>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</si>
  <si>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</si>
  <si>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</si>
  <si>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</si>
  <si>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</si>
  <si>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</si>
  <si>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</si>
  <si>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</si>
  <si>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</si>
  <si>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</si>
  <si>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</si>
  <si>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</si>
  <si>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</si>
  <si>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</si>
  <si>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</si>
  <si>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</si>
  <si>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</si>
  <si>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</si>
  <si>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</si>
  <si>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</si>
  <si>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</si>
  <si>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</si>
  <si>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</si>
  <si>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</si>
  <si>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</si>
  <si>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</si>
  <si>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</si>
  <si>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</si>
  <si>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</si>
  <si>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</si>
  <si>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</si>
  <si>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</si>
  <si>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</si>
  <si>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</si>
  <si>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</si>
  <si>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</si>
  <si>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</si>
  <si>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</si>
  <si>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</si>
  <si>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</si>
  <si>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</si>
  <si>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</si>
  <si>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</si>
  <si>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</si>
  <si>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</si>
  <si>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</si>
  <si>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</si>
  <si>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</si>
  <si>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</si>
  <si>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</si>
  <si>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</si>
  <si>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</si>
  <si>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</si>
  <si>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</si>
  <si>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</si>
  <si>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</si>
  <si>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</si>
  <si>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</si>
  <si>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</si>
  <si>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</si>
  <si>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</si>
  <si>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</si>
  <si>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</si>
  <si>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</si>
  <si>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</si>
  <si>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</si>
  <si>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</si>
  <si>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</si>
  <si>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</si>
  <si>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</si>
  <si>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</si>
  <si>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</si>
  <si>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</si>
  <si>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</si>
  <si>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</si>
  <si>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</si>
  <si>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</si>
  <si>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</si>
  <si>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</si>
  <si>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</si>
  <si>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</si>
  <si>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</si>
  <si>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</si>
  <si>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</si>
  <si>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</si>
  <si>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</si>
  <si>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</si>
  <si>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</si>
  <si>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</si>
  <si>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</si>
  <si>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</si>
  <si>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</si>
  <si>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</si>
  <si>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</si>
  <si>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</si>
  <si>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</si>
  <si>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</si>
  <si>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</si>
  <si>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</si>
  <si>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</si>
  <si>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</si>
  <si>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</si>
  <si>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</si>
  <si>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</si>
  <si>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</si>
  <si>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</si>
  <si>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</si>
  <si>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</si>
  <si>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</si>
  <si>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</si>
  <si>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</si>
  <si>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</si>
  <si>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</si>
  <si>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</si>
  <si>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</si>
  <si>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</si>
  <si>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</si>
  <si>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</si>
  <si>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</si>
  <si>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</si>
  <si>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</si>
  <si>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</si>
  <si>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</si>
  <si>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</si>
  <si>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</si>
  <si>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</si>
  <si>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</si>
  <si>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</si>
  <si>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</si>
  <si>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</si>
  <si>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</si>
  <si>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</si>
  <si>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</si>
  <si>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</si>
  <si>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</si>
  <si>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</si>
  <si>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</si>
  <si>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</si>
  <si>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</si>
  <si>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</si>
  <si>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</si>
  <si>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</si>
  <si>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</si>
  <si>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</si>
  <si>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</si>
  <si>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</si>
  <si>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</si>
  <si>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</si>
  <si>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</si>
  <si>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</si>
  <si>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</si>
  <si>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</si>
  <si>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</si>
  <si>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</si>
  <si>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</si>
  <si>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</si>
  <si>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</si>
  <si>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</si>
  <si>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</si>
  <si>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</si>
  <si>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</si>
  <si>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</si>
  <si>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</si>
  <si>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</si>
  <si>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</si>
  <si>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</si>
  <si>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</si>
  <si>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</si>
  <si>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</si>
  <si>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</si>
  <si>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</si>
  <si>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</si>
  <si>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</si>
  <si>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</si>
  <si>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</si>
  <si>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</si>
  <si>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</si>
  <si>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</si>
  <si>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</si>
  <si>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</si>
  <si>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</si>
  <si>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</si>
  <si>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</si>
  <si>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</si>
  <si>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</si>
  <si>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</si>
  <si>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</si>
  <si>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</si>
  <si>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</si>
  <si>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</si>
  <si>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</si>
  <si>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</si>
  <si>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</si>
  <si>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</si>
  <si>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</si>
  <si>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</si>
  <si>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</si>
  <si>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</si>
  <si>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</si>
  <si>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</si>
  <si>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</si>
  <si>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</si>
  <si>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</si>
  <si>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</si>
  <si>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</si>
  <si>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</si>
  <si>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</si>
  <si>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</si>
  <si>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</si>
  <si>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</si>
  <si>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</si>
  <si>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</si>
  <si>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</si>
  <si>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</si>
  <si>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</si>
  <si>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</si>
  <si>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</si>
  <si>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</si>
  <si>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</si>
  <si>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</si>
  <si>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</si>
  <si>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</si>
  <si>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</si>
  <si>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</si>
  <si>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</si>
  <si>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</si>
  <si>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</si>
  <si>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</si>
  <si>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</si>
  <si>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</si>
  <si>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</si>
  <si>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</si>
  <si>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</si>
  <si>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</si>
  <si>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</si>
  <si>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</si>
  <si>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</si>
  <si>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</si>
  <si>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</si>
  <si>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</si>
  <si>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</si>
  <si>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</si>
  <si>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</si>
  <si>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</si>
  <si>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</si>
  <si>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</si>
  <si>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</si>
  <si>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</si>
  <si>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</si>
  <si>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</si>
  <si>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</si>
  <si>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</si>
  <si>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</si>
  <si>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</si>
  <si>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</si>
  <si>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</si>
  <si>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</si>
  <si>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</si>
  <si>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</si>
  <si>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</si>
  <si>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</si>
  <si>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</si>
  <si>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</si>
  <si>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</si>
  <si>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</si>
  <si>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</si>
  <si>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</si>
  <si>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</si>
  <si>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</si>
  <si>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</si>
  <si>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</si>
  <si>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</si>
  <si>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</si>
  <si>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</si>
  <si>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</si>
  <si>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</si>
  <si>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</si>
  <si>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</si>
  <si>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</si>
  <si>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</si>
  <si>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</si>
  <si>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</si>
  <si>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</si>
  <si>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</si>
  <si>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</si>
  <si>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</si>
  <si>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</si>
  <si>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</si>
  <si>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</si>
  <si>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</si>
  <si>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</si>
  <si>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</si>
  <si>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</si>
  <si>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</si>
  <si>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</si>
  <si>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</si>
  <si>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</si>
  <si>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</si>
  <si>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</si>
  <si>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</si>
  <si>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</si>
  <si>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</si>
  <si>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</si>
  <si>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</si>
  <si>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</si>
  <si>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</si>
  <si>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</si>
  <si>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</si>
  <si>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</si>
  <si>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</si>
  <si>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</si>
  <si>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</si>
  <si>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</si>
  <si>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</si>
  <si>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</si>
  <si>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</si>
  <si>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</si>
  <si>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</si>
  <si>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</si>
  <si>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</si>
  <si>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</si>
  <si>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</si>
  <si>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</si>
  <si>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</si>
  <si>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</si>
  <si>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</si>
  <si>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</si>
  <si>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</si>
  <si>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</si>
  <si>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</si>
  <si>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</si>
  <si>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</si>
  <si>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</si>
  <si>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</si>
  <si>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</si>
  <si>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</si>
  <si>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</si>
  <si>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</si>
  <si>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</si>
  <si>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</si>
  <si>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</si>
  <si>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</si>
  <si>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</si>
  <si>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</si>
  <si>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</si>
  <si>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</si>
  <si>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</si>
  <si>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</si>
  <si>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</si>
  <si>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</si>
  <si>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</si>
  <si>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</si>
  <si>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</si>
  <si>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</si>
  <si>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</si>
  <si>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</si>
  <si>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</si>
  <si>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</si>
  <si>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</si>
  <si>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</si>
  <si>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</si>
  <si>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</si>
  <si>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</si>
  <si>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</si>
  <si>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</si>
  <si>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</si>
  <si>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</si>
  <si>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</si>
  <si>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</si>
  <si>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</si>
  <si>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</si>
  <si>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</si>
  <si>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</si>
  <si>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</si>
  <si>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</si>
  <si>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</si>
  <si>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</si>
  <si>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</si>
  <si>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</si>
  <si>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</si>
  <si>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</si>
  <si>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</si>
  <si>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</si>
  <si>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</si>
  <si>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</si>
  <si>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</si>
  <si>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</si>
  <si>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</si>
  <si>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</si>
  <si>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</si>
  <si>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</si>
  <si>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</si>
  <si>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</si>
  <si>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</si>
  <si>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</si>
  <si>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</si>
  <si>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</si>
  <si>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</si>
  <si>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</si>
  <si>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</si>
  <si>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</si>
  <si>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</si>
  <si>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</si>
  <si>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</si>
  <si>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</si>
  <si>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</si>
  <si>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</si>
  <si>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</si>
  <si>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</si>
  <si>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</si>
  <si>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</si>
  <si>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</si>
  <si>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</si>
  <si>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</si>
  <si>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</si>
  <si>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</si>
  <si>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</si>
  <si>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</si>
  <si>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</si>
  <si>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</si>
  <si>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</si>
  <si>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</si>
  <si>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</si>
  <si>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</si>
  <si>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</si>
  <si>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</si>
  <si>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</si>
  <si>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</si>
  <si>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</si>
  <si>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</si>
  <si>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</si>
  <si>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</si>
  <si>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</si>
  <si>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</si>
  <si>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</si>
  <si>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</si>
  <si>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</si>
  <si>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</si>
  <si>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</si>
  <si>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</si>
  <si>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</si>
  <si>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</si>
  <si>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</si>
  <si>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</si>
  <si>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</si>
  <si>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</si>
  <si>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</si>
  <si>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</si>
  <si>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</si>
  <si>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</si>
  <si>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</si>
  <si>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</si>
  <si>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</si>
  <si>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</si>
  <si>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</si>
  <si>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</si>
  <si>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</si>
  <si>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</si>
  <si>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</si>
  <si>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</si>
  <si>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</si>
  <si>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</si>
  <si>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</si>
  <si>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</si>
  <si>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</si>
  <si>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</si>
  <si>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</si>
  <si>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</si>
  <si>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</si>
  <si>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</si>
  <si>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</si>
  <si>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</si>
  <si>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</si>
  <si>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</si>
  <si>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</si>
  <si>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</si>
  <si>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</si>
  <si>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</si>
  <si>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</si>
  <si>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</si>
  <si>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</si>
  <si>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</si>
  <si>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</si>
  <si>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</si>
  <si>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</si>
  <si>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</si>
  <si>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</si>
  <si>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</si>
  <si>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</si>
  <si>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</si>
  <si>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</si>
  <si>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</si>
  <si>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</si>
  <si>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</si>
  <si>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</si>
  <si>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</si>
  <si>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</si>
  <si>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</si>
  <si>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</si>
  <si>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</si>
  <si>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</si>
  <si>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</si>
  <si>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</si>
  <si>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</si>
  <si>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</si>
  <si>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</si>
  <si>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</si>
  <si>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</si>
  <si>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</si>
  <si>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</si>
  <si>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</si>
  <si>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</si>
  <si>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</si>
  <si>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</si>
  <si>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</si>
  <si>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</si>
  <si>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</si>
  <si>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</si>
  <si>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</si>
  <si>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</si>
  <si>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</si>
  <si>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</si>
  <si>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</si>
  <si>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</si>
  <si>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</si>
  <si>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</si>
  <si>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</si>
  <si>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</si>
  <si>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</si>
  <si>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</si>
  <si>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</si>
  <si>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</si>
  <si>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</si>
  <si>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</si>
  <si>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</si>
  <si>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</si>
  <si>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</si>
  <si>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</si>
  <si>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</si>
  <si>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</si>
  <si>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</si>
  <si>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</si>
  <si>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</si>
  <si>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</si>
  <si>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</si>
  <si>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</si>
  <si>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</si>
  <si>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</si>
  <si>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</si>
  <si>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</si>
  <si>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</si>
  <si>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</si>
  <si>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</si>
  <si>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</si>
  <si>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</si>
  <si>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</si>
  <si>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</si>
  <si>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</si>
  <si>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</si>
  <si>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</si>
  <si>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</si>
  <si>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</si>
  <si>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</si>
  <si>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</si>
  <si>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</si>
  <si>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</si>
  <si>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</si>
  <si>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</si>
  <si>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</si>
  <si>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</si>
  <si>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</si>
  <si>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</si>
  <si>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</si>
  <si>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</si>
  <si>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</si>
  <si>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</si>
  <si>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</si>
  <si>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</si>
  <si>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</si>
  <si>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</si>
  <si>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</si>
  <si>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</si>
  <si>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</si>
  <si>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</si>
  <si>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</si>
  <si>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</si>
  <si>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</si>
  <si>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</si>
  <si>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</si>
  <si>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</si>
  <si>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</si>
  <si>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</si>
  <si>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</si>
  <si>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</si>
  <si>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</si>
  <si>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</si>
  <si>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</si>
  <si>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</si>
  <si>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</si>
  <si>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</si>
  <si>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</si>
  <si>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</si>
  <si>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</si>
  <si>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</si>
  <si>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</si>
  <si>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</si>
  <si>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</si>
  <si>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</si>
  <si>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</si>
  <si>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</si>
  <si>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</si>
  <si>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</si>
  <si>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</si>
  <si>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</si>
  <si>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</si>
  <si>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</si>
  <si>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</si>
  <si>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</si>
  <si>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</si>
  <si>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</si>
  <si>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</si>
  <si>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</si>
  <si>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</si>
  <si>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</si>
  <si>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</si>
  <si>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</si>
  <si>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</si>
  <si>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</si>
  <si>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</si>
  <si>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</si>
  <si>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</si>
  <si>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</si>
  <si>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</si>
  <si>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</si>
  <si>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</si>
  <si>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</si>
  <si>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</si>
  <si>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</si>
  <si>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</si>
  <si>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</si>
  <si>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</si>
  <si>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</si>
  <si>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</si>
  <si>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</si>
  <si>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</si>
  <si>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</si>
  <si>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</si>
  <si>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</si>
  <si>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</si>
  <si>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</si>
  <si>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</si>
  <si>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</si>
  <si>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</si>
  <si>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</si>
  <si>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</si>
  <si>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</si>
  <si>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</si>
  <si>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</si>
  <si>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</si>
  <si>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</si>
  <si>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</si>
  <si>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</si>
  <si>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</si>
  <si>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</si>
  <si>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</si>
  <si>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</si>
  <si>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</si>
  <si>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</si>
  <si>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</si>
  <si>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</si>
  <si>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</si>
  <si>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</si>
  <si>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</si>
  <si>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</si>
  <si>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</si>
  <si>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</si>
  <si>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</si>
  <si>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</si>
  <si>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</si>
  <si>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</si>
  <si>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</si>
  <si>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</si>
  <si>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</si>
  <si>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</si>
  <si>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</si>
  <si>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</si>
  <si>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</si>
  <si>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</si>
  <si>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</si>
  <si>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</si>
  <si>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</si>
  <si>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</si>
  <si>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</si>
  <si>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</si>
  <si>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</si>
  <si>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</si>
  <si>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</si>
  <si>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</si>
  <si>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</si>
  <si>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</si>
  <si>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</si>
  <si>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</si>
  <si>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</si>
  <si>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</si>
  <si>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</si>
  <si>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</si>
  <si>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</si>
  <si>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</si>
  <si>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</si>
  <si>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</si>
  <si>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</si>
  <si>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</si>
  <si>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</si>
  <si>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</si>
  <si>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</si>
  <si>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</si>
  <si>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</si>
  <si>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</si>
  <si>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</si>
  <si>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</si>
  <si>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</si>
  <si>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</si>
  <si>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</si>
  <si>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</si>
  <si>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</si>
  <si>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</si>
  <si>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</si>
  <si>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</si>
  <si>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</si>
  <si>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</si>
  <si>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</si>
  <si>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</si>
  <si>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</si>
  <si>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</si>
  <si>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</si>
  <si>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</si>
  <si>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</si>
  <si>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</si>
  <si>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</si>
  <si>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</si>
  <si>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</si>
  <si>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</si>
  <si>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</si>
  <si>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</si>
  <si>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</si>
  <si>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</si>
  <si>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</si>
  <si>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</si>
  <si>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</si>
  <si>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</si>
  <si>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</si>
  <si>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</si>
  <si>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</si>
  <si>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</si>
  <si>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</si>
  <si>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</si>
  <si>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</si>
  <si>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</si>
  <si>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</si>
  <si>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</si>
  <si>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</si>
  <si>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</si>
  <si>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</si>
  <si>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</si>
  <si>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</si>
  <si>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</si>
  <si>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</si>
  <si>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</si>
  <si>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</si>
  <si>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</si>
  <si>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</si>
  <si>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</si>
  <si>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</si>
  <si>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</si>
  <si>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</si>
  <si>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</si>
  <si>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</si>
  <si>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</si>
  <si>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</si>
  <si>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</si>
  <si>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</si>
  <si>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</si>
  <si>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</si>
  <si>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</si>
  <si>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</si>
  <si>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</si>
  <si>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</si>
  <si>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</si>
  <si>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</si>
  <si>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</si>
  <si>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</si>
  <si>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</si>
  <si>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</si>
  <si>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</si>
  <si>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</si>
  <si>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</si>
  <si>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</si>
  <si>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</si>
  <si>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</si>
  <si>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</si>
  <si>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</si>
  <si>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</si>
  <si>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</si>
  <si>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</si>
  <si>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</si>
  <si>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</si>
  <si>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</si>
  <si>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</si>
  <si>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</si>
  <si>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</si>
  <si>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</si>
  <si>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</si>
  <si>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</si>
  <si>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</si>
  <si>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</si>
  <si>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</si>
  <si>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</si>
  <si>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</si>
  <si>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</si>
  <si>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</si>
  <si>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</si>
  <si>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</si>
  <si>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</si>
  <si>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</si>
  <si>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</si>
  <si>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</si>
  <si>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</si>
  <si>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</si>
  <si>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</si>
  <si>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</si>
  <si>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</si>
  <si>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</si>
  <si>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</si>
  <si>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</si>
  <si>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</si>
  <si>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</si>
  <si>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</si>
  <si>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</si>
  <si>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</si>
  <si>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</si>
  <si>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</si>
  <si>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</si>
  <si>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</si>
  <si>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</si>
  <si>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</si>
  <si>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</si>
  <si>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</si>
  <si>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</si>
  <si>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</si>
  <si>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</si>
  <si>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</si>
  <si>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</si>
  <si>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</si>
  <si>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</si>
  <si>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</si>
  <si>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</si>
  <si>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</si>
  <si>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</si>
  <si>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</si>
  <si>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</si>
  <si>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</si>
  <si>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</si>
  <si>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</si>
  <si>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</si>
  <si>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</si>
  <si>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</si>
  <si>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</si>
  <si>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</si>
  <si>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</si>
  <si>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</si>
  <si>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</si>
  <si>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</si>
  <si>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</si>
  <si>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</si>
  <si>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</si>
  <si>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</si>
  <si>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</si>
  <si>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</si>
  <si>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</si>
  <si>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</si>
  <si>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</si>
  <si>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</si>
  <si>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</si>
  <si>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</si>
  <si>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</si>
  <si>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</si>
  <si>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</si>
  <si>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</si>
  <si>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</si>
  <si>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</si>
  <si>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</si>
  <si>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</si>
  <si>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</si>
  <si>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</si>
  <si>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</si>
  <si>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</si>
  <si>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</si>
  <si>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</si>
  <si>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</si>
  <si>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</si>
  <si>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</si>
  <si>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</si>
  <si>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</si>
  <si>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</si>
  <si>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</si>
  <si>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</si>
  <si>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</si>
  <si>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</si>
  <si>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</si>
  <si>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</si>
  <si>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</si>
  <si>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</si>
  <si>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</si>
  <si>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</si>
  <si>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</si>
  <si>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</si>
  <si>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</si>
  <si>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</si>
  <si>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</si>
  <si>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</si>
  <si>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</si>
  <si>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</si>
  <si>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</si>
  <si>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</si>
  <si>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</si>
  <si>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</si>
  <si>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</si>
  <si>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</si>
  <si>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</si>
  <si>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</si>
  <si>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</si>
  <si>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</si>
  <si>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</si>
  <si>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</si>
  <si>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</si>
  <si>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</si>
  <si>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</si>
  <si>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</si>
  <si>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</si>
  <si>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</si>
  <si>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</si>
  <si>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</si>
  <si>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</si>
  <si>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</si>
  <si>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</si>
  <si>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</si>
  <si>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</si>
  <si>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</si>
  <si>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</si>
  <si>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</si>
  <si>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</si>
  <si>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</si>
  <si>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</si>
  <si>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</si>
  <si>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</si>
  <si>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</si>
  <si>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</si>
  <si>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</si>
  <si>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</si>
  <si>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</si>
  <si>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</si>
  <si>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</si>
  <si>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</si>
  <si>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</si>
  <si>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</si>
  <si>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</si>
  <si>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</si>
  <si>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</si>
  <si>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</si>
  <si>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</si>
  <si>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</si>
  <si>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</si>
  <si>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</si>
  <si>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</si>
  <si>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</si>
  <si>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</si>
  <si>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</si>
  <si>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</si>
  <si>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</si>
  <si>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</si>
  <si>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</si>
  <si>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</si>
  <si>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</si>
  <si>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</si>
  <si>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</si>
  <si>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</si>
  <si>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</si>
  <si>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</si>
  <si>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</si>
  <si>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</si>
  <si>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</si>
  <si>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</si>
  <si>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</si>
  <si>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</si>
  <si>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</si>
  <si>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</si>
  <si>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</si>
  <si>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</si>
  <si>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</si>
  <si>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</si>
  <si>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</si>
  <si>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</si>
  <si>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</si>
  <si>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</si>
  <si>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</si>
  <si>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</si>
  <si>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</si>
  <si>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</si>
  <si>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</si>
  <si>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</si>
  <si>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</si>
  <si>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</si>
  <si>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</si>
  <si>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</si>
  <si>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</si>
  <si>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</si>
  <si>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</si>
  <si>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</si>
  <si>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</si>
  <si>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</si>
  <si>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</si>
  <si>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</si>
  <si>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</si>
  <si>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</si>
  <si>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</si>
  <si>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</si>
  <si>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</si>
  <si>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</si>
  <si>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</si>
  <si>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</si>
  <si>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</si>
  <si>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</si>
  <si>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</si>
  <si>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</si>
  <si>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</si>
  <si>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</si>
  <si>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</si>
  <si>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</si>
  <si>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</si>
  <si>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</si>
  <si>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</si>
  <si>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</si>
  <si>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</si>
  <si>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</si>
  <si>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</si>
  <si>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</si>
  <si>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</si>
  <si>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</si>
  <si>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</si>
  <si>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</si>
  <si>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</si>
  <si>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</si>
  <si>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</si>
  <si>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</si>
  <si>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</si>
  <si>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</si>
  <si>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</si>
  <si>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</si>
  <si>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</si>
  <si>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</si>
  <si>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</si>
  <si>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</si>
  <si>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</si>
  <si>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</si>
  <si>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</si>
  <si>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</si>
  <si>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</si>
  <si>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</si>
  <si>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</si>
  <si>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</si>
  <si>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</si>
  <si>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</si>
  <si>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</si>
  <si>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</si>
  <si>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</si>
  <si>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</si>
  <si>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</si>
  <si>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</si>
  <si>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</si>
  <si>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</si>
  <si>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</si>
  <si>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</si>
  <si>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</si>
  <si>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</si>
  <si>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</si>
  <si>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</si>
  <si>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</si>
  <si>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</si>
  <si>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</si>
  <si>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</si>
  <si>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</si>
  <si>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</si>
  <si>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</si>
  <si>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</si>
  <si>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</si>
  <si>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</si>
  <si>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</si>
  <si>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</si>
  <si>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</si>
  <si>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</si>
  <si>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</si>
  <si>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</si>
  <si>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</si>
  <si>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</si>
  <si>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</si>
  <si>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</si>
  <si>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</si>
  <si>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</si>
  <si>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</si>
  <si>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</si>
  <si>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</si>
  <si>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</si>
  <si>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</si>
  <si>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</si>
  <si>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</si>
  <si>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</si>
  <si>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</si>
  <si>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</si>
  <si>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</si>
  <si>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</si>
  <si>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</si>
  <si>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</si>
  <si>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</si>
  <si>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</si>
  <si>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</si>
  <si>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</si>
  <si>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</si>
  <si>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</si>
  <si>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</si>
  <si>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</si>
  <si>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</si>
  <si>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</si>
  <si>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</si>
  <si>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</si>
  <si>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</si>
  <si>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</si>
  <si>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</si>
  <si>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</si>
  <si>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</si>
  <si>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</si>
  <si>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</si>
  <si>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</si>
  <si>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</si>
  <si>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</si>
  <si>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</si>
  <si>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</si>
  <si>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</si>
  <si>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</si>
  <si>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</si>
  <si>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</si>
  <si>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</si>
  <si>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</si>
  <si>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</si>
  <si>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</si>
  <si>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</si>
  <si>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</si>
  <si>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</si>
  <si>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</si>
  <si>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</si>
  <si>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</si>
  <si>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</si>
  <si>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</si>
  <si>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</si>
  <si>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</si>
  <si>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</si>
  <si>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</si>
  <si>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</si>
  <si>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</si>
  <si>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</si>
  <si>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</si>
  <si>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</si>
  <si>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</si>
  <si>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</si>
  <si>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</si>
  <si>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</si>
  <si>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</si>
  <si>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</si>
  <si>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</si>
  <si>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</si>
  <si>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</si>
  <si>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Z1_OLBV_T3PT_SC1s1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</si>
</sst>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3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47.284000000000006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155.58039004346091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5.6807510504347833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137.11707443596526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3.764488669565218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143.69999999999999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98.636252439443524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24.5</v>
      </c>
      <c r="H18" s="158">
        <f>G18/G17</f>
        <v>0.42608695652173911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</v>
      </c>
      <c r="H19" s="158">
        <f>G19/G17</f>
        <v>0.34782608695652173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9.5652173913043481E-2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5" zoomScale="80" zoomScaleNormal="80" workbookViewId="0">
      <selection activeCell="N19" sqref="N1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5.6099999999999994</v>
      </c>
      <c r="AF7" s="61">
        <f t="shared" ref="AF7:AF26" si="1">$R7*W7</f>
        <v>5.0999999999999996</v>
      </c>
      <c r="AG7" s="61">
        <f t="shared" ref="AG7:AG26" si="2">$R7*X7</f>
        <v>3.9099999999999997</v>
      </c>
      <c r="AH7" s="61">
        <f t="shared" ref="AH7:AH26" si="3">$R7*Y7</f>
        <v>0.85</v>
      </c>
      <c r="AI7" s="61">
        <f t="shared" ref="AI7:AI26" si="4">$R7*Z7</f>
        <v>1.19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49.317284646608712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47.284000000000006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47.284000000000006</v>
      </c>
      <c r="G9" s="81"/>
      <c r="H9" s="61">
        <f>SUM(L34:L43)</f>
        <v>0</v>
      </c>
      <c r="I9" s="81"/>
      <c r="J9" s="81"/>
      <c r="K9" s="93">
        <f>H9-F9</f>
        <v>-47.284000000000006</v>
      </c>
      <c r="L9" s="81"/>
      <c r="M9" s="100"/>
      <c r="P9">
        <v>3</v>
      </c>
      <c r="Q9" s="39">
        <v>290</v>
      </c>
      <c r="R9" s="39">
        <v>1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3.5</v>
      </c>
      <c r="AF9" s="61">
        <f t="shared" si="1"/>
        <v>0</v>
      </c>
      <c r="AG9" s="61">
        <f t="shared" si="2"/>
        <v>1</v>
      </c>
      <c r="AH9" s="61">
        <f t="shared" si="3"/>
        <v>0.7</v>
      </c>
      <c r="AI9" s="61">
        <f t="shared" si="4"/>
        <v>0.5</v>
      </c>
      <c r="AJ9" s="61">
        <f t="shared" si="5"/>
        <v>0</v>
      </c>
      <c r="AK9" s="141"/>
      <c r="AL9" s="61">
        <f t="shared" si="6"/>
        <v>3.8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22.896005873878259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/>
      <c r="R11" s="39"/>
      <c r="S11" s="291" t="e">
        <f>VLOOKUP($Q11,[1]MEP!$A$5:$D$300,3)</f>
        <v>#N/A</v>
      </c>
      <c r="T11" s="76" t="e">
        <f>VLOOKUP($Q11,[1]MEP!$A$5:$D$300,4)</f>
        <v>#N/A</v>
      </c>
      <c r="U11" s="76">
        <f>VLOOKUP($Q11,[1]MEP!$A$4:$K$300,2)</f>
        <v>0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5.6807510504347833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3.764488669565218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5.6807510504347833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32.288240477043487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50.309999999999995</v>
      </c>
      <c r="E24" s="61">
        <f t="shared" si="21"/>
        <v>11.774999999999999</v>
      </c>
      <c r="F24" s="61">
        <f t="shared" si="21"/>
        <v>32.765000000000001</v>
      </c>
      <c r="G24" s="61">
        <f t="shared" si="21"/>
        <v>18.056000000000001</v>
      </c>
      <c r="H24" s="61">
        <f t="shared" si="21"/>
        <v>27.101000000000003</v>
      </c>
      <c r="I24" s="61">
        <f t="shared" si="21"/>
        <v>0</v>
      </c>
      <c r="J24" s="63"/>
      <c r="K24" s="61">
        <f>AL27+AL49+AL71</f>
        <v>113.80500000000001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49.317284646608712</v>
      </c>
      <c r="E25" s="61">
        <f>BR8</f>
        <v>9.6664631304347832</v>
      </c>
      <c r="F25" s="61">
        <f>BR9</f>
        <v>22.896005873878259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143.69999999999999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0.99271535339128292</v>
      </c>
      <c r="E27" s="93">
        <f t="shared" si="23"/>
        <v>2.1085368695652154</v>
      </c>
      <c r="F27" s="93">
        <f t="shared" si="23"/>
        <v>9.8689941261217413</v>
      </c>
      <c r="G27" s="93">
        <f t="shared" si="23"/>
        <v>14.327373913043479</v>
      </c>
      <c r="H27" s="93">
        <f t="shared" si="23"/>
        <v>14.073127298434784</v>
      </c>
      <c r="I27" s="93">
        <f t="shared" si="23"/>
        <v>0</v>
      </c>
      <c r="J27" s="63"/>
      <c r="K27" s="93">
        <f>K24-K25</f>
        <v>-29.894999999999982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33.11</v>
      </c>
      <c r="AF27" s="75">
        <f t="shared" ref="AF27:AJ27" si="24">SUM(AF7:AF26)</f>
        <v>5.0999999999999996</v>
      </c>
      <c r="AG27" s="75">
        <f t="shared" si="24"/>
        <v>16.91</v>
      </c>
      <c r="AH27" s="75">
        <f t="shared" si="24"/>
        <v>13.549999999999999</v>
      </c>
      <c r="AI27" s="75">
        <f t="shared" si="24"/>
        <v>17.990000000000002</v>
      </c>
      <c r="AJ27" s="75">
        <f t="shared" si="24"/>
        <v>0</v>
      </c>
      <c r="AK27"/>
      <c r="AL27" s="75">
        <f>SUM(AL7:AL26)</f>
        <v>75.150000000000006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3.764488669565218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14.949433039130437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7.2560197043478265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33.11</v>
      </c>
      <c r="E72" s="61">
        <f t="shared" ref="E72:H72" si="69">AF27</f>
        <v>5.0999999999999996</v>
      </c>
      <c r="F72" s="61">
        <f t="shared" si="69"/>
        <v>16.91</v>
      </c>
      <c r="G72" s="61">
        <f t="shared" si="69"/>
        <v>13.549999999999999</v>
      </c>
      <c r="H72" s="61">
        <f t="shared" si="69"/>
        <v>17.990000000000002</v>
      </c>
      <c r="I72" s="61">
        <f t="shared" ref="I72" si="70">AJ75+AJ97+AJ119</f>
        <v>0</v>
      </c>
      <c r="J72" s="63"/>
      <c r="K72" s="61">
        <f>+K24</f>
        <v>113.80500000000001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32.288240477043487</v>
      </c>
      <c r="E73" s="61">
        <f>BR20</f>
        <v>4.5209591304347834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143.69999999999999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0.821759522956512</v>
      </c>
      <c r="E75" s="93">
        <f t="shared" ref="E75:I75" si="71">E72-E73</f>
        <v>0.57904086956521628</v>
      </c>
      <c r="F75" s="93">
        <f t="shared" si="71"/>
        <v>5.9797691209043453</v>
      </c>
      <c r="G75" s="93">
        <f t="shared" si="71"/>
        <v>13.549999999999999</v>
      </c>
      <c r="H75" s="93">
        <f t="shared" si="71"/>
        <v>11.083087994086958</v>
      </c>
      <c r="I75" s="93">
        <f t="shared" si="71"/>
        <v>0</v>
      </c>
      <c r="J75" s="63"/>
      <c r="K75" s="93">
        <f>+K27</f>
        <v>-29.894999999999982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14.949433039130437</v>
      </c>
      <c r="E83" s="61">
        <f>BR28</f>
        <v>5.1455039999999999</v>
      </c>
      <c r="F83" s="61">
        <f>BR29</f>
        <v>7.2560197043478265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0.10056696086956229</v>
      </c>
      <c r="E85" s="93">
        <f t="shared" ref="E85:H85" si="73">E82-E83</f>
        <v>0.45449599999999979</v>
      </c>
      <c r="F85" s="93">
        <f t="shared" si="73"/>
        <v>2.2089802956521734</v>
      </c>
      <c r="G85" s="93">
        <f t="shared" si="73"/>
        <v>0.53981286956521668</v>
      </c>
      <c r="H85" s="93">
        <f t="shared" si="73"/>
        <v>3.4609172173913034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8224.1835988409512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8224.1835988409512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108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8224.1835988409512</v>
      </c>
      <c r="U66" s="170">
        <f>SUMIF(Parcellaire!$B$2:$B$65,1,Parcellaire!U2:U65)</f>
        <v>7004.0396609330137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24" zoomScale="80" zoomScaleNormal="80" workbookViewId="0">
      <selection activeCell="K95" sqref="K95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10"/>
        <v>1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1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23.5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4.5</v>
      </c>
      <c r="AI228" s="62">
        <f t="shared" si="24"/>
        <v>7.5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V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8224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9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9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8224</v>
      </c>
      <c r="AE20" s="64">
        <v>0</v>
      </c>
      <c r="AF20" s="64">
        <f>SUM(AD20:AE20)</f>
        <v>8224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8224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8224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39.099999999999994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3</v>
      </c>
      <c r="M69" s="173">
        <f>IF($AA69=0,99,IF(M82&gt;3,CdTrp1!L77,CdTrp1!L53))</f>
        <v>3</v>
      </c>
      <c r="N69" s="173">
        <f>IF($AA69=0,99,IF(N82&gt;3,CdTrp1!M77,CdTrp1!M53))</f>
        <v>3</v>
      </c>
      <c r="O69" s="173">
        <f>IF($AA69=0,99,IF(O82&gt;3,CdTrp1!N77,CdTrp1!N53))</f>
        <v>3</v>
      </c>
      <c r="P69" s="173">
        <f>IF($AA69=0,99,IF(P82&gt;3,CdTrp1!O77,CdTrp1!O53))</f>
        <v>3</v>
      </c>
      <c r="Q69" s="173">
        <f>IF($AA69=0,99,IF(Q82&gt;3,CdTrp1!P77,CdTrp1!P53))</f>
        <v>3</v>
      </c>
      <c r="R69" s="173">
        <f>IF($AA69=0,99,IF(R82&gt;3,CdTrp1!Q77,CdTrp1!Q53))</f>
        <v>3</v>
      </c>
      <c r="S69" s="173">
        <f>IF($AA69=0,99,IF(S82&gt;3,CdTrp1!R77,CdTrp1!R53))</f>
        <v>3</v>
      </c>
      <c r="T69" s="173">
        <f>IF($AA69=0,99,IF(T82&gt;3,CdTrp1!S77,CdTrp1!S53))</f>
        <v>3</v>
      </c>
      <c r="U69" s="173">
        <f>IF($AA69=0,99,IF(U82&gt;3,CdTrp1!T77,CdTrp1!T53))</f>
        <v>3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3</v>
      </c>
      <c r="W70" s="173">
        <f>IF($AA70=0,99,IF(W83&gt;3,CdTrp1!V78,CdTrp1!V54))</f>
        <v>3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3</v>
      </c>
      <c r="M71" s="173">
        <f>IF($AA71=0,99,IF(M84&gt;3,CdTrp1!L79,CdTrp1!L55))</f>
        <v>3</v>
      </c>
      <c r="N71" s="173">
        <f>IF($AA71=0,99,IF(N84&gt;3,CdTrp1!M79,CdTrp1!M55))</f>
        <v>3</v>
      </c>
      <c r="O71" s="173">
        <f>IF($AA71=0,99,IF(O84&gt;3,CdTrp1!N79,CdTrp1!N55))</f>
        <v>3</v>
      </c>
      <c r="P71" s="173">
        <f>IF($AA71=0,99,IF(P84&gt;3,CdTrp1!O79,CdTrp1!O55))</f>
        <v>3</v>
      </c>
      <c r="Q71" s="173">
        <f>IF($AA71=0,99,IF(Q84&gt;3,CdTrp1!P79,CdTrp1!P55))</f>
        <v>3</v>
      </c>
      <c r="R71" s="173">
        <f>IF($AA71=0,99,IF(R84&gt;3,CdTrp1!Q79,CdTrp1!Q55))</f>
        <v>3</v>
      </c>
      <c r="S71" s="173">
        <f>IF($AA71=0,99,IF(S84&gt;3,CdTrp1!R79,CdTrp1!R55))</f>
        <v>3</v>
      </c>
      <c r="T71" s="173">
        <f>IF($AA71=0,99,IF(T84&gt;3,CdTrp1!S79,CdTrp1!S55))</f>
        <v>3</v>
      </c>
      <c r="U71" s="173">
        <f>IF($AA71=0,99,IF(U84&gt;3,CdTrp1!T79,CdTrp1!T55))</f>
        <v>3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2174.8500869565223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112.97269565217391</v>
      </c>
      <c r="J13" s="30">
        <f t="shared" si="8"/>
        <v>126.92643478260869</v>
      </c>
      <c r="K13" s="30">
        <f t="shared" si="8"/>
        <v>126.88017391304348</v>
      </c>
      <c r="L13" s="30">
        <f t="shared" si="8"/>
        <v>123.33391304347826</v>
      </c>
      <c r="M13" s="30">
        <f t="shared" si="8"/>
        <v>112.78765217391305</v>
      </c>
      <c r="N13" s="30">
        <f t="shared" si="8"/>
        <v>116.24139130434783</v>
      </c>
      <c r="O13" s="30">
        <f t="shared" si="8"/>
        <v>114.3988695652174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99.011043478260873</v>
      </c>
      <c r="AA13" s="30">
        <f t="shared" si="8"/>
        <v>113.01104347826087</v>
      </c>
      <c r="AB13" s="30">
        <f t="shared" si="8"/>
        <v>114.90773913043478</v>
      </c>
      <c r="AC13" s="30">
        <f t="shared" si="8"/>
        <v>107.90773913043478</v>
      </c>
      <c r="AD13" s="30">
        <f t="shared" si="8"/>
        <v>107.90773913043478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21.150000000000002</v>
      </c>
      <c r="C55" s="190">
        <f>IF(B55&gt;[1]Trav!E121,[1]Trav!C121,[1]Trav!B121)</f>
        <v>7.2</v>
      </c>
      <c r="D55"/>
      <c r="E55" s="172"/>
      <c r="F55" s="173">
        <f t="shared" si="32"/>
        <v>152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2.3499999999999979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275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182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481.5</v>
      </c>
      <c r="G77" s="46">
        <f t="shared" ref="G77:AD77" si="43">+SUM(G69:G76)</f>
        <v>20.5</v>
      </c>
      <c r="H77" s="46">
        <f t="shared" si="43"/>
        <v>20.5</v>
      </c>
      <c r="I77" s="46">
        <f t="shared" si="43"/>
        <v>25.5</v>
      </c>
      <c r="J77" s="46">
        <f t="shared" si="43"/>
        <v>30.5</v>
      </c>
      <c r="K77" s="46">
        <f t="shared" si="43"/>
        <v>30.5</v>
      </c>
      <c r="L77" s="46">
        <f t="shared" si="43"/>
        <v>30.5</v>
      </c>
      <c r="M77" s="46">
        <f t="shared" si="43"/>
        <v>30.5</v>
      </c>
      <c r="N77" s="46">
        <f t="shared" si="43"/>
        <v>30.5</v>
      </c>
      <c r="O77" s="46">
        <f t="shared" si="43"/>
        <v>30.5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25.5</v>
      </c>
      <c r="AA77" s="46">
        <f t="shared" si="43"/>
        <v>20.5</v>
      </c>
      <c r="AB77" s="46">
        <f t="shared" si="43"/>
        <v>20.5</v>
      </c>
      <c r="AC77" s="46">
        <f t="shared" si="43"/>
        <v>20.5</v>
      </c>
      <c r="AD77" s="46">
        <f t="shared" si="43"/>
        <v>20.5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1.29</v>
      </c>
      <c r="C81" s="190">
        <f>[1]Protect!$B$10</f>
        <v>4</v>
      </c>
      <c r="D81" s="172"/>
      <c r="E81" s="172"/>
      <c r="F81" s="173">
        <f>ROUND(C81*B81*8,0)</f>
        <v>41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8.2240000000000002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0.70000000000000007</v>
      </c>
      <c r="C86" s="176"/>
      <c r="D86" s="176"/>
      <c r="E86" s="176"/>
      <c r="F86" s="173">
        <f>B86*[1]Eco!$B$108*[1]Eco!$B$109</f>
        <v>168.00000000000003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1389.1000869565219</v>
      </c>
      <c r="C91" s="5"/>
      <c r="D91" s="202">
        <f>B91/Troupeau!$B$17</f>
        <v>4.5694081807780327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2062.1500869565216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333.07826086956521</v>
      </c>
      <c r="AW99" s="62">
        <f t="shared" ref="AW99:BS99" si="68">SUM(AW90:AW98)</f>
        <v>330.43478260869568</v>
      </c>
      <c r="AX99" s="62">
        <f t="shared" si="68"/>
        <v>327.7913043478261</v>
      </c>
      <c r="AY99" s="62">
        <f t="shared" si="68"/>
        <v>326.46956521739133</v>
      </c>
      <c r="AZ99" s="62">
        <f t="shared" si="68"/>
        <v>325.14782608695651</v>
      </c>
      <c r="BA99" s="62">
        <f t="shared" si="68"/>
        <v>323.82608695652175</v>
      </c>
      <c r="BB99" s="62">
        <f t="shared" si="68"/>
        <v>322.50434782608698</v>
      </c>
      <c r="BC99" s="62">
        <f t="shared" si="68"/>
        <v>321.18260869565216</v>
      </c>
      <c r="BD99" s="62">
        <f t="shared" si="68"/>
        <v>318.53913043478263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278.88695652173914</v>
      </c>
      <c r="BP99" s="62">
        <f t="shared" si="68"/>
        <v>278.88695652173914</v>
      </c>
      <c r="BQ99" s="62">
        <f t="shared" si="68"/>
        <v>333.07826086956521</v>
      </c>
      <c r="BR99" s="62">
        <f t="shared" si="68"/>
        <v>333.07826086956521</v>
      </c>
      <c r="BS99" s="62">
        <f t="shared" si="68"/>
        <v>333.07826086956521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6.6615652173913045</v>
      </c>
      <c r="AW100" s="173">
        <f t="shared" ref="AW100:BS100" si="71">IF($AT$2="OL",AW99/50,AW99/10)</f>
        <v>6.608695652173914</v>
      </c>
      <c r="AX100" s="173">
        <f t="shared" si="71"/>
        <v>6.5558260869565217</v>
      </c>
      <c r="AY100" s="173">
        <f t="shared" si="71"/>
        <v>6.5293913043478264</v>
      </c>
      <c r="AZ100" s="173">
        <f t="shared" si="71"/>
        <v>6.5029565217391303</v>
      </c>
      <c r="BA100" s="173">
        <f t="shared" si="71"/>
        <v>6.4765217391304351</v>
      </c>
      <c r="BB100" s="173">
        <f t="shared" si="71"/>
        <v>6.4500869565217398</v>
      </c>
      <c r="BC100" s="173">
        <f t="shared" si="71"/>
        <v>6.4236521739130437</v>
      </c>
      <c r="BD100" s="173">
        <f t="shared" si="71"/>
        <v>6.3707826086956523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5.5777391304347823</v>
      </c>
      <c r="BP100" s="173">
        <f t="shared" si="71"/>
        <v>5.5777391304347823</v>
      </c>
      <c r="BQ100" s="173">
        <f t="shared" si="71"/>
        <v>6.6615652173913045</v>
      </c>
      <c r="BR100" s="173">
        <f t="shared" si="71"/>
        <v>6.6615652173913045</v>
      </c>
      <c r="BS100" s="173">
        <f t="shared" si="71"/>
        <v>6.6615652173913045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5.6615652173913045</v>
      </c>
      <c r="AW101" s="173">
        <f t="shared" ref="AW101:BS101" si="74">IF(AW100&gt;1,AW100-1,0)</f>
        <v>5.608695652173914</v>
      </c>
      <c r="AX101" s="173">
        <f t="shared" si="74"/>
        <v>5.5558260869565217</v>
      </c>
      <c r="AY101" s="173">
        <f t="shared" si="74"/>
        <v>5.5293913043478264</v>
      </c>
      <c r="AZ101" s="173">
        <f t="shared" si="74"/>
        <v>5.5029565217391303</v>
      </c>
      <c r="BA101" s="173">
        <f t="shared" si="74"/>
        <v>5.4765217391304351</v>
      </c>
      <c r="BB101" s="173">
        <f t="shared" si="74"/>
        <v>5.4500869565217398</v>
      </c>
      <c r="BC101" s="173">
        <f t="shared" si="74"/>
        <v>5.4236521739130437</v>
      </c>
      <c r="BD101" s="173">
        <f t="shared" si="74"/>
        <v>5.3707826086956523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4.5777391304347823</v>
      </c>
      <c r="BP101" s="173">
        <f t="shared" si="74"/>
        <v>4.5777391304347823</v>
      </c>
      <c r="BQ101" s="173">
        <f t="shared" si="74"/>
        <v>5.6615652173913045</v>
      </c>
      <c r="BR101" s="173">
        <f t="shared" si="74"/>
        <v>5.6615652173913045</v>
      </c>
      <c r="BS101" s="173">
        <f t="shared" si="74"/>
        <v>5.6615652173913045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51.907739130434784</v>
      </c>
      <c r="AW102" s="62">
        <f t="shared" ref="AW102:BS102" si="77">AW86+AW87*AW101</f>
        <v>51.815217391304351</v>
      </c>
      <c r="AX102" s="62">
        <f t="shared" si="77"/>
        <v>51.722695652173911</v>
      </c>
      <c r="AY102" s="62">
        <f t="shared" si="77"/>
        <v>51.676434782608695</v>
      </c>
      <c r="AZ102" s="62">
        <f t="shared" si="77"/>
        <v>51.630173913043478</v>
      </c>
      <c r="BA102" s="62">
        <f t="shared" si="77"/>
        <v>30.583913043478262</v>
      </c>
      <c r="BB102" s="62">
        <f t="shared" si="77"/>
        <v>30.537652173913045</v>
      </c>
      <c r="BC102" s="62">
        <f t="shared" si="77"/>
        <v>30.491391304347829</v>
      </c>
      <c r="BD102" s="62">
        <f t="shared" si="77"/>
        <v>30.398869565217392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29.01104347826087</v>
      </c>
      <c r="BP102" s="62">
        <f t="shared" si="77"/>
        <v>50.011043478260873</v>
      </c>
      <c r="BQ102" s="62">
        <f t="shared" si="77"/>
        <v>51.907739130434784</v>
      </c>
      <c r="BR102" s="62">
        <f t="shared" si="77"/>
        <v>51.907739130434784</v>
      </c>
      <c r="BS102" s="62">
        <f t="shared" si="77"/>
        <v>51.907739130434784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333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275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41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168.00000000000003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2937.250086956522</v>
      </c>
      <c r="D118" s="202">
        <f>B118/Troupeau!$B$17</f>
        <v>9.6620068649885589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763.05</v>
      </c>
      <c r="D119" s="202">
        <f>IF(B119=0,0,B119/Troupeau!$C$17)</f>
        <v>40.160526315789468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3700.3000869565221</v>
      </c>
    </row>
    <row r="123" spans="1:132" x14ac:dyDescent="0.25">
      <c r="A123" s="2" t="s">
        <v>856</v>
      </c>
      <c r="B123" s="30">
        <f>B108</f>
        <v>333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299.5</v>
      </c>
    </row>
    <row r="126" spans="1:132" x14ac:dyDescent="0.25">
      <c r="A126" s="2" t="s">
        <v>872</v>
      </c>
      <c r="B126" s="30">
        <f>B114+B115+B116</f>
        <v>218.3</v>
      </c>
    </row>
    <row r="128" spans="1:132" x14ac:dyDescent="0.25">
      <c r="A128" s="2" t="s">
        <v>873</v>
      </c>
      <c r="B128" s="201">
        <f>SUM(B122:B126)</f>
        <v>5151.1000869565223</v>
      </c>
    </row>
    <row r="129" spans="1:2" x14ac:dyDescent="0.25">
      <c r="A129" s="2" t="s">
        <v>874</v>
      </c>
      <c r="B129" s="30">
        <f>IF(Scénario!K129=1,Travail!F77+Travail!F86,F86)</f>
        <v>649.5</v>
      </c>
    </row>
    <row r="130" spans="1:2" x14ac:dyDescent="0.25">
      <c r="A130" s="2" t="s">
        <v>875</v>
      </c>
      <c r="B130" s="201">
        <f>ROUND((B128-B129)/(Scénario!K4+Scénario!K6),0)</f>
        <v>3001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8383.2000000000007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118606.56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29.894999999999982</v>
      </c>
      <c r="C118" s="190">
        <f>IF(Scénario!$K$12="BV",[1]Eco!$B$78,IF(Scénario!$K$12="BL",[1]Eco!$B$77,[1]Eco!$B$76))</f>
        <v>223</v>
      </c>
      <c r="J118" s="173">
        <f>B118*C118</f>
        <v>6666.5849999999955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47.284000000000006</v>
      </c>
      <c r="C119" s="190">
        <f>[1]Eco!$B$79</f>
        <v>80</v>
      </c>
      <c r="J119" s="173">
        <f>B119*C119</f>
        <v>3782.7200000000003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4.5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121.5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7.5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349.65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551.43000000000006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8139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780.16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50501.445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23.5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168.00000000000003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1785.8400000000004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72"/>
        <v>1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1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507.3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5392.5990000000002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37231.239000000001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30873.875999999989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20583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4221.9750976411951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15251.900902358793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10168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23.5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4.5</v>
      </c>
      <c r="AI228" s="62">
        <f t="shared" si="86"/>
        <v>7.5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8224</v>
      </c>
      <c r="U234" t="s">
        <v>1101</v>
      </c>
      <c r="V234" s="173"/>
      <c r="W234" s="173">
        <f>[1]Protect!$B$4</f>
        <v>6</v>
      </c>
      <c r="X234" s="173">
        <f>T234*W234</f>
        <v>49344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49744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34244</v>
      </c>
      <c r="AB237" s="30">
        <f>(Scénario!K127/100)*AA237</f>
        <v>0</v>
      </c>
      <c r="AC237" s="30">
        <f>AA237-AB237</f>
        <v>34244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4221.9750976411951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9</v>
      </c>
      <c r="X245" s="173">
        <f>ROUND((([1]Protect!$B$5/[1]Protect!$B$11)+[1]Protect!$B$8)*T245,0)</f>
        <v>8139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0.70000000000000007</v>
      </c>
      <c r="W246" s="173">
        <f>[1]Eco!$B$106*[1]Eco!$B$108*[1]Eco!$B$109</f>
        <v>2551.2000000000003</v>
      </c>
      <c r="X246" s="173">
        <f>T246*W246</f>
        <v>1785.8400000000004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10479.52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10479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8383.2000000000007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8383.2000000000007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123.36</v>
      </c>
      <c r="U272" s="173"/>
      <c r="V272" s="173"/>
      <c r="W272" s="173">
        <f>W234</f>
        <v>6</v>
      </c>
      <c r="X272" s="173">
        <f>T272*W272</f>
        <v>740.16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Z1_OLBV_T3PT_SC1s1</v>
      </c>
      <c r="D1" s="275" t="str">
        <f>CONCATENATE(C1,"_corr")</f>
        <v>Z1_OLBV_T3PT_SC1s1_corr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23.5</v>
      </c>
      <c r="D85" s="261">
        <f>ROUND(C85*$D$82/$C$82,3)</f>
        <v>22.562000000000001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2.35</v>
      </c>
      <c r="D88" s="261">
        <f t="shared" si="14"/>
        <v>2.2559999999999998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</v>
      </c>
      <c r="D136" s="262">
        <f t="shared" si="25"/>
        <v>0.49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319.7883551989591</v>
      </c>
      <c r="AW160" s="62">
        <f t="shared" ref="AW160:BS160" si="83">SUM(AW151:AW159)</f>
        <v>317.25035237991978</v>
      </c>
      <c r="AX160" s="62">
        <f t="shared" si="83"/>
        <v>314.7123495608804</v>
      </c>
      <c r="AY160" s="62">
        <f t="shared" si="83"/>
        <v>313.44334815136074</v>
      </c>
      <c r="AZ160" s="62">
        <f t="shared" si="83"/>
        <v>312.17434674184102</v>
      </c>
      <c r="BA160" s="62">
        <f t="shared" si="83"/>
        <v>310.90534533232136</v>
      </c>
      <c r="BB160" s="62">
        <f t="shared" si="83"/>
        <v>309.6363439228017</v>
      </c>
      <c r="BC160" s="62">
        <f t="shared" si="83"/>
        <v>308.36734251328198</v>
      </c>
      <c r="BD160" s="62">
        <f t="shared" si="83"/>
        <v>305.82933969424266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267.75929740865229</v>
      </c>
      <c r="BP160" s="62">
        <f t="shared" si="83"/>
        <v>267.75929740865229</v>
      </c>
      <c r="BQ160" s="62">
        <f t="shared" si="83"/>
        <v>319.7883551989591</v>
      </c>
      <c r="BR160" s="62">
        <f t="shared" si="83"/>
        <v>319.7883551989591</v>
      </c>
      <c r="BS160" s="62">
        <f t="shared" si="83"/>
        <v>319.7883551989591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6.3957671039791819</v>
      </c>
      <c r="AW161" s="173">
        <f t="shared" ref="AW161:BS161" si="86">IF($AT$62="OL",AW160/50,AW160/10)</f>
        <v>6.3450070475983953</v>
      </c>
      <c r="AX161" s="173">
        <f t="shared" si="86"/>
        <v>6.2942469912176078</v>
      </c>
      <c r="AY161" s="173">
        <f t="shared" si="86"/>
        <v>6.2688669630272145</v>
      </c>
      <c r="AZ161" s="173">
        <f t="shared" si="86"/>
        <v>6.2434869348368203</v>
      </c>
      <c r="BA161" s="173">
        <f t="shared" si="86"/>
        <v>6.218106906646427</v>
      </c>
      <c r="BB161" s="173">
        <f t="shared" si="86"/>
        <v>6.1927268784560336</v>
      </c>
      <c r="BC161" s="173">
        <f t="shared" si="86"/>
        <v>6.1673468502656394</v>
      </c>
      <c r="BD161" s="173">
        <f t="shared" si="86"/>
        <v>6.1165867938848528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5.3551859481730455</v>
      </c>
      <c r="BP161" s="173">
        <f t="shared" si="86"/>
        <v>5.3551859481730455</v>
      </c>
      <c r="BQ161" s="173">
        <f t="shared" si="86"/>
        <v>6.3957671039791819</v>
      </c>
      <c r="BR161" s="173">
        <f t="shared" si="86"/>
        <v>6.3957671039791819</v>
      </c>
      <c r="BS161" s="173">
        <f t="shared" si="86"/>
        <v>6.3957671039791819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5.3957671039791819</v>
      </c>
      <c r="AW162" s="173">
        <f t="shared" ref="AW162:BS162" si="89">IF(AW161&gt;1,AW161-1,0)</f>
        <v>5.3450070475983953</v>
      </c>
      <c r="AX162" s="173">
        <f t="shared" si="89"/>
        <v>5.2942469912176078</v>
      </c>
      <c r="AY162" s="173">
        <f t="shared" si="89"/>
        <v>5.2688669630272145</v>
      </c>
      <c r="AZ162" s="173">
        <f t="shared" si="89"/>
        <v>5.2434869348368203</v>
      </c>
      <c r="BA162" s="173">
        <f t="shared" si="89"/>
        <v>5.218106906646427</v>
      </c>
      <c r="BB162" s="173">
        <f t="shared" si="89"/>
        <v>5.1927268784560336</v>
      </c>
      <c r="BC162" s="173">
        <f t="shared" si="89"/>
        <v>5.1673468502656394</v>
      </c>
      <c r="BD162" s="173">
        <f t="shared" si="89"/>
        <v>5.1165867938848528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4.3551859481730455</v>
      </c>
      <c r="BP162" s="173">
        <f t="shared" si="89"/>
        <v>4.3551859481730455</v>
      </c>
      <c r="BQ162" s="173">
        <f t="shared" si="89"/>
        <v>5.3957671039791819</v>
      </c>
      <c r="BR162" s="173">
        <f t="shared" si="89"/>
        <v>5.3957671039791819</v>
      </c>
      <c r="BS162" s="173">
        <f t="shared" si="89"/>
        <v>5.3957671039791819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51.442592431963568</v>
      </c>
      <c r="AW163" s="62">
        <f t="shared" ref="AW163:BS163" si="92">AW147+AW148*AW162</f>
        <v>51.35376233329719</v>
      </c>
      <c r="AX163" s="62">
        <f t="shared" si="92"/>
        <v>51.264932234630813</v>
      </c>
      <c r="AY163" s="62">
        <f t="shared" si="92"/>
        <v>51.220517185297624</v>
      </c>
      <c r="AZ163" s="62">
        <f t="shared" si="92"/>
        <v>51.176102135964435</v>
      </c>
      <c r="BA163" s="62">
        <f t="shared" si="92"/>
        <v>30.131687086631246</v>
      </c>
      <c r="BB163" s="62">
        <f t="shared" si="92"/>
        <v>30.087272037298057</v>
      </c>
      <c r="BC163" s="62">
        <f t="shared" si="92"/>
        <v>30.042856987964868</v>
      </c>
      <c r="BD163" s="62">
        <f t="shared" si="92"/>
        <v>29.954026889298493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28.621575409302828</v>
      </c>
      <c r="BP163" s="62">
        <f t="shared" si="92"/>
        <v>49.621575409302828</v>
      </c>
      <c r="BQ163" s="62">
        <f t="shared" si="92"/>
        <v>51.442592431963568</v>
      </c>
      <c r="BR163" s="62">
        <f t="shared" si="92"/>
        <v>51.442592431963568</v>
      </c>
      <c r="BS163" s="62">
        <f t="shared" si="92"/>
        <v>51.442592431963568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140.00700000000001</v>
      </c>
      <c r="D169" s="263">
        <f t="shared" si="50"/>
        <v>134.42068578553616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98.636252439443496</v>
      </c>
      <c r="D170" s="263">
        <f t="shared" si="50"/>
        <v>94.70064136954052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113.80500000000001</v>
      </c>
      <c r="D171" s="263">
        <f t="shared" si="50"/>
        <v>109.26415211970075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143.69999999999999</v>
      </c>
      <c r="D172" s="263">
        <f t="shared" si="50"/>
        <v>137.96633416458852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41.370747560556509</v>
      </c>
      <c r="D173" s="263">
        <f t="shared" si="50"/>
        <v>39.720044415995652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-29.894999999999982</v>
      </c>
      <c r="D175" s="263">
        <f>C175*$D$82/$C$82</f>
        <v>-28.702182044887763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29.894999999999982</v>
      </c>
      <c r="D176" s="263">
        <f>C176*$D$82/$C$82</f>
        <v>28.702182044887763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88</v>
      </c>
      <c r="D178" s="173">
        <f>ROUND((D170+D171)/(D170+D172),2)*100</f>
        <v>88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8224</v>
      </c>
      <c r="D183" s="264">
        <f>ROUND(D184*D185,0)</f>
        <v>7883</v>
      </c>
      <c r="E183" s="17" t="s">
        <v>1295</v>
      </c>
    </row>
    <row r="184" spans="1:132" x14ac:dyDescent="0.25">
      <c r="B184" s="14" t="s">
        <v>1296</v>
      </c>
      <c r="C184" s="173">
        <f>Protection!AK26</f>
        <v>39.099999999999994</v>
      </c>
      <c r="D184" s="265">
        <f>C184*D82/C82</f>
        <v>37.539900249376551</v>
      </c>
    </row>
    <row r="185" spans="1:132" x14ac:dyDescent="0.25">
      <c r="B185" s="14" t="s">
        <v>1297</v>
      </c>
      <c r="C185" s="173">
        <f>IF(C183=0,0,ROUND(C183/C184,0))</f>
        <v>210</v>
      </c>
      <c r="D185" s="173">
        <f>C185</f>
        <v>210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9</v>
      </c>
      <c r="D189" s="173">
        <f t="shared" si="101"/>
        <v>9</v>
      </c>
      <c r="AH189" s="15"/>
      <c r="AJ189" s="14" t="s">
        <v>1114</v>
      </c>
      <c r="AK189" s="30">
        <f>D189</f>
        <v>9</v>
      </c>
      <c r="AO189" s="173">
        <f>ROUND((([1]Protect!$B$5/[1]Protect!$B$11)+[1]Protect!$B$8)*AK189,0)</f>
        <v>8139</v>
      </c>
    </row>
    <row r="190" spans="1:132" x14ac:dyDescent="0.25">
      <c r="B190" s="14" t="s">
        <v>1302</v>
      </c>
      <c r="C190" s="173">
        <f>'Calcul éco'!T246*(30)</f>
        <v>21.000000000000004</v>
      </c>
      <c r="D190" s="173">
        <f>C190</f>
        <v>21.000000000000004</v>
      </c>
      <c r="AH190" s="15"/>
      <c r="AJ190" s="14" t="s">
        <v>1115</v>
      </c>
      <c r="AK190" s="30">
        <f>D190/30</f>
        <v>0.70000000000000007</v>
      </c>
      <c r="AN190" s="173">
        <f>[1]Eco!$B$106*[1]Eco!$B$108*[1]Eco!$B$109</f>
        <v>2551.2000000000003</v>
      </c>
      <c r="AO190" s="173">
        <f>AK190*AN190</f>
        <v>1785.8400000000004</v>
      </c>
    </row>
    <row r="191" spans="1:132" x14ac:dyDescent="0.25">
      <c r="B191" s="14" t="s">
        <v>1303</v>
      </c>
      <c r="C191" s="198">
        <f>ROUND(SUM(Travail!F69:F74)/8,1)</f>
        <v>34.4</v>
      </c>
      <c r="D191" s="173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1.11375</v>
      </c>
      <c r="E192" s="17" t="s">
        <v>1308</v>
      </c>
      <c r="I192" s="5"/>
      <c r="AN192" s="14" t="s">
        <v>1117</v>
      </c>
      <c r="AO192" s="173">
        <f>SUM(AO189:AO191)</f>
        <v>10479.52</v>
      </c>
    </row>
    <row r="193" spans="1:43" x14ac:dyDescent="0.25">
      <c r="B193" s="14" t="s">
        <v>1309</v>
      </c>
      <c r="C193" s="173">
        <f>(Travail!F75+Travail!F76+Travail!F81)/8</f>
        <v>30.9375</v>
      </c>
      <c r="D193" s="173">
        <f>C193</f>
        <v>30.9375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10479.52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8383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56689.2</v>
      </c>
      <c r="D211" s="264">
        <f>ROUND(SUM(D201:D210),0)</f>
        <v>57116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118.245</v>
      </c>
      <c r="AK216" s="173"/>
      <c r="AL216" s="173"/>
      <c r="AM216" s="173">
        <f>'Calcul éco'!W272</f>
        <v>6</v>
      </c>
      <c r="AN216" s="173">
        <f>AJ216*AM216</f>
        <v>709.47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2049.98</v>
      </c>
      <c r="D217" s="261">
        <f t="shared" si="106"/>
        <v>1968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10449.304999999997</v>
      </c>
      <c r="D218" s="261">
        <f t="shared" si="106"/>
        <v>10032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8139</v>
      </c>
      <c r="D219" s="261">
        <f t="shared" si="106"/>
        <v>7814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780.16</v>
      </c>
      <c r="D220" s="264">
        <f>SUM(AN215:AN219)</f>
        <v>749.47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50501</v>
      </c>
      <c r="D221" s="264">
        <f>ROUND(SUM(D216:D220),0)</f>
        <v>48486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7883</v>
      </c>
      <c r="AL225" t="s">
        <v>1101</v>
      </c>
      <c r="AM225" s="173"/>
      <c r="AN225" s="173">
        <f>[1]Protect!$B$4</f>
        <v>6</v>
      </c>
      <c r="AO225" s="173">
        <f>AK225*AN225</f>
        <v>47298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47698</v>
      </c>
      <c r="AQ228" s="30">
        <f>IF(Scénario!K84=1,MIN(0.8*AO228,[1]Protect!$B$68),IF(Scénario!K84=2,MIN(0.8*AO228,[1]Protect!$B$67),0))</f>
        <v>15500</v>
      </c>
      <c r="AR228" s="30">
        <f>AO228-AQ228</f>
        <v>32198</v>
      </c>
      <c r="AS228" s="30">
        <f>(1-Scénario!K127/100)*AR228</f>
        <v>32198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1785.8400000000004</v>
      </c>
      <c r="D234" s="173">
        <f>C234</f>
        <v>1785.8400000000004</v>
      </c>
    </row>
    <row r="235" spans="1:49" x14ac:dyDescent="0.25">
      <c r="B235" s="14" t="s">
        <v>1353</v>
      </c>
      <c r="C235" s="173">
        <f>'Calcul éco'!J167</f>
        <v>5392.5990000000002</v>
      </c>
      <c r="D235" s="264">
        <f>(D191+D192)*8*[1]Eco!$B$106</f>
        <v>3020.0893000000005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37231</v>
      </c>
      <c r="D236" s="264">
        <f>ROUND(SUM(D222:D235),0)</f>
        <v>33905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30874.199999999997</v>
      </c>
      <c r="D237" s="264">
        <f>D194+D211-D221-D236</f>
        <v>34171</v>
      </c>
    </row>
    <row r="238" spans="1:49" x14ac:dyDescent="0.25">
      <c r="B238" s="211" t="s">
        <v>1090</v>
      </c>
      <c r="C238" s="173">
        <f>ROUND(C237/Scénario!$K$4,0)</f>
        <v>20583</v>
      </c>
      <c r="D238" s="264">
        <f>ROUND(D237/D83,0)</f>
        <v>17086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4221.9750976411951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15252</v>
      </c>
      <c r="D241" s="268">
        <f>ROUND(D237-D239-D240,0)</f>
        <v>22771</v>
      </c>
    </row>
    <row r="242" spans="1:15" x14ac:dyDescent="0.25">
      <c r="B242" s="211" t="s">
        <v>1094</v>
      </c>
      <c r="C242" s="173">
        <f>ROUND(C241/Scénario!K4,0)</f>
        <v>10168</v>
      </c>
      <c r="D242" s="264">
        <f>ROUND(D241/D83,0)</f>
        <v>11386</v>
      </c>
    </row>
    <row r="243" spans="1:15" x14ac:dyDescent="0.25">
      <c r="B243" s="211" t="s">
        <v>1357</v>
      </c>
      <c r="C243" s="173">
        <f>'Calcul éco'!X237+'Calcul éco'!X240</f>
        <v>49744</v>
      </c>
      <c r="D243" s="173">
        <f>C243</f>
        <v>49744</v>
      </c>
    </row>
    <row r="244" spans="1:15" x14ac:dyDescent="0.25">
      <c r="B244" s="211" t="s">
        <v>1358</v>
      </c>
      <c r="C244" s="173">
        <f>'Calcul éco'!AA237+'Calcul éco'!AA240</f>
        <v>34244</v>
      </c>
      <c r="D244" s="173">
        <f>C244</f>
        <v>34244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858.85008695652186</v>
      </c>
      <c r="D248" s="264">
        <f>ROUND(SUM(AV163:BS163),1)</f>
        <v>850.6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20.305800000000001</v>
      </c>
      <c r="L258" s="190">
        <f>IF(K258&gt;[1]Trav!E121,[1]Trav!C121,[1]Trav!B121)</f>
        <v>7.2</v>
      </c>
      <c r="N258" s="274"/>
      <c r="O258">
        <f t="shared" si="114"/>
        <v>146.20176000000001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2.2559999999999998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9.9263999999999992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152</v>
      </c>
      <c r="D267" s="264">
        <f t="shared" si="116"/>
        <v>146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275.2</v>
      </c>
      <c r="D275" s="173">
        <f>C275</f>
        <v>275.2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8.91</v>
      </c>
    </row>
    <row r="277" spans="1:4" x14ac:dyDescent="0.25">
      <c r="B277" s="32" t="s">
        <v>1419</v>
      </c>
      <c r="C277" s="270">
        <f>Travail!F75+Travail!F81</f>
        <v>223</v>
      </c>
      <c r="D277" s="173">
        <f>C277</f>
        <v>223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168.00000000000003</v>
      </c>
      <c r="D279" s="270">
        <f>C279</f>
        <v>168.00000000000003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2937</v>
      </c>
      <c r="D281" s="264">
        <f>ROUND(D245+D248+D251+D254+D257+D260+D261,0)</f>
        <v>2883</v>
      </c>
    </row>
    <row r="282" spans="1:4" x14ac:dyDescent="0.25">
      <c r="B282" s="14" t="s">
        <v>1372</v>
      </c>
      <c r="C282" s="173">
        <f>ROUND(C246+C249+C252+C255+C258,0)</f>
        <v>763</v>
      </c>
      <c r="D282" s="264">
        <f>ROUND(D246+D249+D252+D255+D258,0)</f>
        <v>759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9.66</v>
      </c>
      <c r="D284" s="173">
        <f>ROUND(D281/(Troupeau!$B$17*G63),2)</f>
        <v>9.8800000000000008</v>
      </c>
    </row>
    <row r="285" spans="1:4" x14ac:dyDescent="0.25">
      <c r="B285" s="14" t="s">
        <v>1375</v>
      </c>
      <c r="C285" s="173">
        <f>IF(Troupeau!$C$17=0,0,ROUND(C282/Troupeau!$C$17,2))</f>
        <v>40.159999999999997</v>
      </c>
      <c r="D285" s="173">
        <f>IF(Troupeau!$C$17=0,0,ROUND(D282/Troupeau!$C$17*G63,2))</f>
        <v>38.35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3700</v>
      </c>
      <c r="D287" s="264">
        <f>SUM(D281:D283)</f>
        <v>3642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333</v>
      </c>
      <c r="D289" s="264">
        <f>SUM(D262:D271)</f>
        <v>324</v>
      </c>
    </row>
    <row r="290" spans="2:4" x14ac:dyDescent="0.25">
      <c r="B290" s="14" t="s">
        <v>1421</v>
      </c>
      <c r="C290" s="270">
        <f>C275+C276+C277</f>
        <v>507.5</v>
      </c>
      <c r="D290" s="277">
        <f>D275+D276+D277</f>
        <v>507.11</v>
      </c>
    </row>
    <row r="291" spans="2:4" x14ac:dyDescent="0.25">
      <c r="B291" s="14" t="s">
        <v>1422</v>
      </c>
      <c r="C291" s="270">
        <f>C278+C279+C280</f>
        <v>192.50000000000003</v>
      </c>
      <c r="D291" s="270">
        <f>D278+D279+D280</f>
        <v>192.50000000000003</v>
      </c>
    </row>
    <row r="292" spans="2:4" x14ac:dyDescent="0.25">
      <c r="B292" s="14" t="s">
        <v>873</v>
      </c>
      <c r="C292" s="173">
        <f>ROUND(SUM(C287:C291),0)</f>
        <v>5333</v>
      </c>
      <c r="D292" s="264">
        <f>ROUND(SUM(D287:D291),0)</f>
        <v>5266</v>
      </c>
    </row>
    <row r="293" spans="2:4" x14ac:dyDescent="0.25">
      <c r="B293" s="14" t="s">
        <v>874</v>
      </c>
      <c r="C293" s="173">
        <f>ROUND(IF(Scénario!$K$129=1,SUM(C275:C280),SUM(C278:C280)),0)</f>
        <v>700</v>
      </c>
      <c r="D293" s="173">
        <f>ROUND(IF(Scénario!$K$129=1,SUM(D275:D280),SUM(D278:D280)),0)</f>
        <v>700</v>
      </c>
    </row>
    <row r="294" spans="2:4" x14ac:dyDescent="0.25">
      <c r="B294" s="14" t="s">
        <v>875</v>
      </c>
      <c r="C294" s="173">
        <f>ROUND((C292-C293)/C83,0)</f>
        <v>3089</v>
      </c>
      <c r="D294" s="173">
        <f>ROUND((D292-D293)/D83,0)</f>
        <v>2283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49344</v>
      </c>
    </row>
    <row r="308" spans="2:3" x14ac:dyDescent="0.25">
      <c r="B308" s="14" t="s">
        <v>1460</v>
      </c>
      <c r="C308" s="173">
        <f>'Calcul éco'!X235</f>
        <v>400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45" activePane="bottomLeft" state="frozen"/>
      <selection pane="bottomLeft" activeCell="AC78" sqref="AC78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3</v>
      </c>
      <c r="L53" s="156">
        <v>3</v>
      </c>
      <c r="M53" s="156">
        <v>3</v>
      </c>
      <c r="N53" s="156">
        <v>3</v>
      </c>
      <c r="O53" s="156">
        <v>3</v>
      </c>
      <c r="P53" s="156">
        <v>3</v>
      </c>
      <c r="Q53" s="156">
        <v>3</v>
      </c>
      <c r="R53" s="156">
        <v>3</v>
      </c>
      <c r="S53" s="156">
        <v>3</v>
      </c>
      <c r="T53" s="156">
        <v>3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3</v>
      </c>
      <c r="V54" s="60">
        <v>3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3</v>
      </c>
      <c r="L55" s="60">
        <v>3</v>
      </c>
      <c r="M55" s="60">
        <v>3</v>
      </c>
      <c r="N55" s="60">
        <v>3</v>
      </c>
      <c r="O55" s="60">
        <v>3</v>
      </c>
      <c r="P55" s="60">
        <v>3</v>
      </c>
      <c r="Q55" s="60">
        <v>3</v>
      </c>
      <c r="R55" s="60">
        <v>3</v>
      </c>
      <c r="S55" s="60">
        <v>3</v>
      </c>
      <c r="T55" s="60">
        <v>3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33.084000000000003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603</v>
      </c>
      <c r="C73" s="64">
        <f t="shared" ref="C73:Y73" si="28">ROUND(SUM(C63:C72),0)</f>
        <v>598</v>
      </c>
      <c r="D73" s="64">
        <f t="shared" si="28"/>
        <v>535</v>
      </c>
      <c r="E73" s="64">
        <f t="shared" si="28"/>
        <v>280</v>
      </c>
      <c r="F73" s="64">
        <f t="shared" si="28"/>
        <v>308</v>
      </c>
      <c r="G73" s="64">
        <f t="shared" si="28"/>
        <v>292</v>
      </c>
      <c r="H73" s="64">
        <f t="shared" si="28"/>
        <v>281</v>
      </c>
      <c r="I73" s="64">
        <f t="shared" si="28"/>
        <v>280</v>
      </c>
      <c r="J73" s="64">
        <f t="shared" si="28"/>
        <v>308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303</v>
      </c>
      <c r="V73" s="64">
        <f t="shared" si="28"/>
        <v>586</v>
      </c>
      <c r="W73" s="64">
        <f t="shared" si="28"/>
        <v>584</v>
      </c>
      <c r="X73" s="64">
        <f t="shared" si="28"/>
        <v>603</v>
      </c>
      <c r="Y73" s="64">
        <f t="shared" si="28"/>
        <v>603</v>
      </c>
      <c r="Z73" s="52"/>
      <c r="AA73" s="56">
        <f>ROUND(SUM(B73:Y73),0)</f>
        <v>7352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9" activePane="bottomLeft" state="frozen"/>
      <selection pane="bottomLeft" activeCell="H80" sqref="H8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2023-01-09T10:07:02Z</dcterms:modified>
</cp:coreProperties>
</file>