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</externalReferences>
  <calcPr calcId="162913"/>
  <pivotCaches>
    <pivotCache cacheId="135" r:id="rId18"/>
  </pivotCaches>
</workbook>
</file>

<file path=xl/calcChain.xml><?xml version="1.0" encoding="utf-8"?>
<calcChain xmlns="http://schemas.openxmlformats.org/spreadsheetml/2006/main">
  <c r="AV5" i="29" l="1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BD6" i="29" s="1"/>
  <c r="AX6" i="29"/>
  <c r="AY6" i="29"/>
  <c r="AZ6" i="29"/>
  <c r="BA6" i="29"/>
  <c r="BB6" i="29"/>
  <c r="BC6" i="29"/>
  <c r="BE6" i="29"/>
  <c r="BF6" i="29" s="1"/>
  <c r="AV7" i="29"/>
  <c r="AW7" i="29"/>
  <c r="BK7" i="29" s="1"/>
  <c r="AX7" i="29"/>
  <c r="AY7" i="29"/>
  <c r="AZ7" i="29"/>
  <c r="BA7" i="29"/>
  <c r="BB7" i="29"/>
  <c r="BC7" i="29"/>
  <c r="BD7" i="29"/>
  <c r="BE7" i="29" s="1"/>
  <c r="BF7" i="29" s="1"/>
  <c r="BG7" i="29"/>
  <c r="BH7" i="29"/>
  <c r="BI7" i="29"/>
  <c r="BJ7" i="29"/>
  <c r="BL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BD9" i="29" s="1"/>
  <c r="BE9" i="29" s="1"/>
  <c r="BF9" i="29" s="1"/>
  <c r="AZ9" i="29"/>
  <c r="BA9" i="29"/>
  <c r="BB9" i="29"/>
  <c r="BC9" i="29"/>
  <c r="AV10" i="29"/>
  <c r="AW10" i="29"/>
  <c r="AX10" i="29"/>
  <c r="AY10" i="29"/>
  <c r="BD10" i="29" s="1"/>
  <c r="BE10" i="29" s="1"/>
  <c r="BF10" i="29" s="1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AV12" i="29"/>
  <c r="AW12" i="29"/>
  <c r="AX12" i="29"/>
  <c r="AY12" i="29"/>
  <c r="AZ12" i="29"/>
  <c r="BA12" i="29"/>
  <c r="BB12" i="29"/>
  <c r="BC12" i="29"/>
  <c r="BD12" i="29"/>
  <c r="BE12" i="29" s="1"/>
  <c r="BF12" i="29" s="1"/>
  <c r="BL12" i="29" s="1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BD17" i="29" s="1"/>
  <c r="BE17" i="29" s="1"/>
  <c r="BF17" i="29" s="1"/>
  <c r="AZ17" i="29"/>
  <c r="BA17" i="29"/>
  <c r="BB17" i="29"/>
  <c r="BC17" i="29"/>
  <c r="AV18" i="29"/>
  <c r="AW18" i="29"/>
  <c r="AX18" i="29"/>
  <c r="AY18" i="29"/>
  <c r="BD18" i="29" s="1"/>
  <c r="BE18" i="29" s="1"/>
  <c r="BF18" i="29" s="1"/>
  <c r="AZ18" i="29"/>
  <c r="AV19" i="29"/>
  <c r="AW19" i="29"/>
  <c r="AX19" i="29"/>
  <c r="AY19" i="29"/>
  <c r="AZ19" i="29"/>
  <c r="BA19" i="29"/>
  <c r="BB19" i="29"/>
  <c r="BC19" i="29"/>
  <c r="AV20" i="29"/>
  <c r="AW20" i="29"/>
  <c r="AX20" i="29"/>
  <c r="AY20" i="29"/>
  <c r="AZ20" i="29"/>
  <c r="BA20" i="29"/>
  <c r="BB20" i="29"/>
  <c r="BC20" i="29"/>
  <c r="BD20" i="29"/>
  <c r="BE20" i="29" s="1"/>
  <c r="BF20" i="29" s="1"/>
  <c r="BL20" i="29" s="1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AV24" i="29"/>
  <c r="AW24" i="29"/>
  <c r="AX24" i="29"/>
  <c r="AY24" i="29"/>
  <c r="AZ24" i="29"/>
  <c r="BA24" i="29"/>
  <c r="BB24" i="29"/>
  <c r="BC24" i="29"/>
  <c r="AV25" i="29"/>
  <c r="AW25" i="29"/>
  <c r="AX25" i="29"/>
  <c r="AY25" i="29"/>
  <c r="BD25" i="29" s="1"/>
  <c r="BE25" i="29" s="1"/>
  <c r="BF25" i="29" s="1"/>
  <c r="AZ25" i="29"/>
  <c r="BA25" i="29"/>
  <c r="BB25" i="29"/>
  <c r="BC25" i="29"/>
  <c r="AV26" i="29"/>
  <c r="AW26" i="29"/>
  <c r="BD26" i="29" s="1"/>
  <c r="BE26" i="29" s="1"/>
  <c r="BF26" i="29" s="1"/>
  <c r="AX26" i="29"/>
  <c r="AY26" i="29"/>
  <c r="AZ26" i="29"/>
  <c r="BA26" i="29"/>
  <c r="BB26" i="29"/>
  <c r="BC26" i="29"/>
  <c r="BG26" i="29"/>
  <c r="BH26" i="29"/>
  <c r="BI26" i="29"/>
  <c r="BJ26" i="29"/>
  <c r="BK26" i="29"/>
  <c r="BL26" i="29"/>
  <c r="AV27" i="29"/>
  <c r="AW27" i="29"/>
  <c r="BG27" i="29" s="1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D30" i="29" s="1"/>
  <c r="BE30" i="29" s="1"/>
  <c r="BF30" i="29" s="1"/>
  <c r="AX30" i="29"/>
  <c r="AY30" i="29"/>
  <c r="AZ30" i="29"/>
  <c r="BA30" i="29"/>
  <c r="BB30" i="29"/>
  <c r="BC30" i="29"/>
  <c r="BG30" i="29"/>
  <c r="BJ30" i="29"/>
  <c r="BK30" i="29"/>
  <c r="BK22" i="29" l="1"/>
  <c r="BG22" i="29"/>
  <c r="BJ22" i="29"/>
  <c r="BG18" i="29"/>
  <c r="BI18" i="29"/>
  <c r="BJ18" i="29"/>
  <c r="BK18" i="29"/>
  <c r="BL18" i="29"/>
  <c r="BH17" i="29"/>
  <c r="BI17" i="29"/>
  <c r="BJ17" i="29"/>
  <c r="BK17" i="29"/>
  <c r="BL17" i="29"/>
  <c r="BG17" i="29"/>
  <c r="BJ23" i="29"/>
  <c r="BK23" i="29"/>
  <c r="BL23" i="29"/>
  <c r="BG23" i="29"/>
  <c r="BI23" i="29"/>
  <c r="BH23" i="29"/>
  <c r="BL21" i="29"/>
  <c r="BK21" i="29"/>
  <c r="BG21" i="29"/>
  <c r="BH21" i="29"/>
  <c r="BI21" i="29"/>
  <c r="BJ21" i="29"/>
  <c r="BG20" i="29"/>
  <c r="BK14" i="29"/>
  <c r="BG14" i="29"/>
  <c r="BJ14" i="29"/>
  <c r="BG10" i="29"/>
  <c r="BI10" i="29"/>
  <c r="BJ10" i="29"/>
  <c r="BK10" i="29"/>
  <c r="BL10" i="29"/>
  <c r="BH9" i="29"/>
  <c r="BJ9" i="29"/>
  <c r="BK9" i="29"/>
  <c r="BL9" i="29"/>
  <c r="BG9" i="29"/>
  <c r="BJ15" i="29"/>
  <c r="BK15" i="29"/>
  <c r="BL15" i="29"/>
  <c r="BG15" i="29"/>
  <c r="BH15" i="29"/>
  <c r="BI15" i="29"/>
  <c r="BH25" i="29"/>
  <c r="BI25" i="29"/>
  <c r="BJ25" i="29"/>
  <c r="BK25" i="29"/>
  <c r="BL25" i="29"/>
  <c r="BG25" i="29"/>
  <c r="BL13" i="29"/>
  <c r="BK13" i="29"/>
  <c r="BG13" i="29"/>
  <c r="BH13" i="29"/>
  <c r="BI13" i="29"/>
  <c r="BJ13" i="29"/>
  <c r="BG12" i="29"/>
  <c r="BH10" i="29"/>
  <c r="BI9" i="29"/>
  <c r="BK6" i="29"/>
  <c r="BG6" i="29"/>
  <c r="BH6" i="29"/>
  <c r="BJ6" i="29"/>
  <c r="BI6" i="29"/>
  <c r="BL5" i="29"/>
  <c r="BG5" i="29"/>
  <c r="BH5" i="29"/>
  <c r="BI5" i="29"/>
  <c r="BK5" i="29"/>
  <c r="BJ5" i="29"/>
  <c r="BI30" i="29"/>
  <c r="BK28" i="29"/>
  <c r="BL27" i="29"/>
  <c r="BD27" i="29"/>
  <c r="BE27" i="29" s="1"/>
  <c r="BF27" i="29" s="1"/>
  <c r="BI22" i="29"/>
  <c r="BK20" i="29"/>
  <c r="BD19" i="29"/>
  <c r="BE19" i="29" s="1"/>
  <c r="BF19" i="29" s="1"/>
  <c r="BJ19" i="29" s="1"/>
  <c r="BI14" i="29"/>
  <c r="BK12" i="29"/>
  <c r="BD11" i="29"/>
  <c r="BE11" i="29" s="1"/>
  <c r="BF11" i="29" s="1"/>
  <c r="BL11" i="29" s="1"/>
  <c r="BH30" i="29"/>
  <c r="BJ28" i="29"/>
  <c r="BK27" i="29"/>
  <c r="BH22" i="29"/>
  <c r="BJ20" i="29"/>
  <c r="BH14" i="29"/>
  <c r="BJ12" i="29"/>
  <c r="BI28" i="29"/>
  <c r="BJ27" i="29"/>
  <c r="BI20" i="29"/>
  <c r="BI12" i="29"/>
  <c r="BH28" i="29"/>
  <c r="BI27" i="29"/>
  <c r="BD24" i="29"/>
  <c r="BE24" i="29" s="1"/>
  <c r="BF24" i="29" s="1"/>
  <c r="BG24" i="29" s="1"/>
  <c r="BH20" i="29"/>
  <c r="BD16" i="29"/>
  <c r="BE16" i="29" s="1"/>
  <c r="BF16" i="29" s="1"/>
  <c r="BJ16" i="29" s="1"/>
  <c r="BH12" i="29"/>
  <c r="BD8" i="29"/>
  <c r="BE8" i="29" s="1"/>
  <c r="BF8" i="29" s="1"/>
  <c r="BJ8" i="29" s="1"/>
  <c r="BH27" i="29"/>
  <c r="BL30" i="29"/>
  <c r="BL22" i="29"/>
  <c r="BL14" i="29"/>
  <c r="BL6" i="29"/>
  <c r="BK8" i="29" l="1"/>
  <c r="BJ24" i="29"/>
  <c r="BK16" i="29"/>
  <c r="BK11" i="29"/>
  <c r="BL24" i="29"/>
  <c r="BL8" i="29"/>
  <c r="BI11" i="29"/>
  <c r="BG16" i="29"/>
  <c r="BG11" i="29"/>
  <c r="BH11" i="29"/>
  <c r="BL19" i="29"/>
  <c r="BI16" i="29"/>
  <c r="BH16" i="29"/>
  <c r="BJ11" i="29"/>
  <c r="BG8" i="29"/>
  <c r="BG19" i="29"/>
  <c r="BH19" i="29"/>
  <c r="BL16" i="29"/>
  <c r="BK19" i="29"/>
  <c r="BK24" i="29"/>
  <c r="BI19" i="29"/>
  <c r="BI8" i="29"/>
  <c r="BH8" i="29"/>
  <c r="BI24" i="29"/>
  <c r="BH24" i="29"/>
  <c r="C297" i="33" l="1"/>
  <c r="C295" i="33"/>
  <c r="C296" i="33"/>
  <c r="C302" i="33" l="1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C108" i="30"/>
  <c r="CB108" i="30"/>
  <c r="CY106" i="30"/>
  <c r="CX106" i="30"/>
  <c r="CG106" i="30"/>
  <c r="CF106" i="30"/>
  <c r="CE106" i="30"/>
  <c r="CD106" i="30"/>
  <c r="CC106" i="30"/>
  <c r="CB106" i="30"/>
  <c r="CA105" i="30"/>
  <c r="CT108" i="30" s="1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8" i="30"/>
  <c r="BR108" i="30"/>
  <c r="BQ108" i="30"/>
  <c r="AZ108" i="30"/>
  <c r="AY108" i="30"/>
  <c r="AX108" i="30"/>
  <c r="AW108" i="30"/>
  <c r="AV108" i="30"/>
  <c r="BS106" i="30"/>
  <c r="BR106" i="30"/>
  <c r="BQ106" i="30"/>
  <c r="BP106" i="30"/>
  <c r="AX106" i="30"/>
  <c r="AW106" i="30"/>
  <c r="AV106" i="30"/>
  <c r="AU105" i="30"/>
  <c r="BO109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S87" i="30"/>
  <c r="CR87" i="30"/>
  <c r="CQ87" i="30"/>
  <c r="CP87" i="30"/>
  <c r="CO87" i="30"/>
  <c r="CN87" i="30"/>
  <c r="CM87" i="30"/>
  <c r="CL87" i="30"/>
  <c r="CJ87" i="30"/>
  <c r="CS86" i="30"/>
  <c r="CR86" i="30"/>
  <c r="CQ86" i="30"/>
  <c r="CP86" i="30"/>
  <c r="CO86" i="30"/>
  <c r="CN86" i="30"/>
  <c r="CM86" i="30"/>
  <c r="CL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O76" i="30"/>
  <c r="N76" i="30"/>
  <c r="M76" i="30"/>
  <c r="G76" i="30"/>
  <c r="O75" i="30"/>
  <c r="N75" i="30"/>
  <c r="M75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V33" i="29"/>
  <c r="U33" i="29"/>
  <c r="M33" i="29"/>
  <c r="L33" i="29"/>
  <c r="K33" i="29"/>
  <c r="J33" i="29"/>
  <c r="I33" i="29"/>
  <c r="C33" i="29"/>
  <c r="V31" i="29"/>
  <c r="U31" i="29"/>
  <c r="M31" i="29"/>
  <c r="L31" i="29"/>
  <c r="K31" i="29"/>
  <c r="J31" i="29"/>
  <c r="I31" i="29"/>
  <c r="C31" i="29"/>
  <c r="Z30" i="29"/>
  <c r="Y30" i="29"/>
  <c r="V30" i="29"/>
  <c r="U30" i="29"/>
  <c r="M30" i="29"/>
  <c r="L30" i="29"/>
  <c r="K30" i="29"/>
  <c r="J30" i="29"/>
  <c r="I30" i="29"/>
  <c r="D30" i="29"/>
  <c r="C30" i="29"/>
  <c r="Z29" i="29"/>
  <c r="Y29" i="29"/>
  <c r="V29" i="29"/>
  <c r="U29" i="29"/>
  <c r="M29" i="29"/>
  <c r="L29" i="29"/>
  <c r="K29" i="29"/>
  <c r="J29" i="29"/>
  <c r="I29" i="29"/>
  <c r="D29" i="29"/>
  <c r="C29" i="29"/>
  <c r="K12" i="29"/>
  <c r="J12" i="29"/>
  <c r="I12" i="29"/>
  <c r="F12" i="29"/>
  <c r="E12" i="29"/>
  <c r="D12" i="29"/>
  <c r="C12" i="29"/>
  <c r="K10" i="29"/>
  <c r="J10" i="29"/>
  <c r="I10" i="29"/>
  <c r="F10" i="29"/>
  <c r="E10" i="29"/>
  <c r="D10" i="29"/>
  <c r="C10" i="29"/>
  <c r="K9" i="29"/>
  <c r="J9" i="29"/>
  <c r="I9" i="29"/>
  <c r="F9" i="29"/>
  <c r="E9" i="29"/>
  <c r="D9" i="29"/>
  <c r="C9" i="29"/>
  <c r="K8" i="29"/>
  <c r="J8" i="29"/>
  <c r="I8" i="29"/>
  <c r="F8" i="29"/>
  <c r="E8" i="29"/>
  <c r="D8" i="29"/>
  <c r="C8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BD86" i="30" l="1"/>
  <c r="AZ87" i="30"/>
  <c r="BR87" i="30"/>
  <c r="AX87" i="30"/>
  <c r="CH87" i="30"/>
  <c r="CH86" i="30"/>
  <c r="AV86" i="30"/>
  <c r="CJ86" i="30"/>
  <c r="BB86" i="30"/>
  <c r="BC86" i="30"/>
  <c r="AY87" i="30"/>
  <c r="BS87" i="30"/>
  <c r="CI86" i="30"/>
  <c r="CI87" i="30"/>
  <c r="AW86" i="30"/>
  <c r="BQ86" i="30"/>
  <c r="BA87" i="30"/>
  <c r="CK86" i="30"/>
  <c r="CK87" i="30"/>
  <c r="AX86" i="30"/>
  <c r="BR86" i="30"/>
  <c r="BB87" i="30"/>
  <c r="CT86" i="30"/>
  <c r="CT87" i="30"/>
  <c r="CM107" i="30"/>
  <c r="AY86" i="30"/>
  <c r="BS86" i="30"/>
  <c r="BC87" i="30"/>
  <c r="CU86" i="30"/>
  <c r="CU87" i="30"/>
  <c r="AZ86" i="30"/>
  <c r="AV87" i="30"/>
  <c r="BD87" i="30"/>
  <c r="CV86" i="30"/>
  <c r="CV87" i="30"/>
  <c r="BA86" i="30"/>
  <c r="AW87" i="30"/>
  <c r="BQ87" i="30"/>
  <c r="CG86" i="30"/>
  <c r="CW86" i="30"/>
  <c r="CG87" i="30"/>
  <c r="CW87" i="30"/>
  <c r="BH106" i="30"/>
  <c r="BH108" i="30"/>
  <c r="CE108" i="30"/>
  <c r="CU108" i="30"/>
  <c r="CU107" i="30"/>
  <c r="AZ109" i="30"/>
  <c r="CM106" i="30"/>
  <c r="AZ106" i="30"/>
  <c r="BP109" i="30"/>
  <c r="CU106" i="30"/>
  <c r="BA106" i="30"/>
  <c r="BI106" i="30"/>
  <c r="BA108" i="30"/>
  <c r="BI108" i="30"/>
  <c r="BA109" i="30"/>
  <c r="BQ109" i="30"/>
  <c r="CN106" i="30"/>
  <c r="CV107" i="30"/>
  <c r="CF108" i="30"/>
  <c r="CV108" i="30"/>
  <c r="BB106" i="30"/>
  <c r="BJ106" i="30"/>
  <c r="BB107" i="30"/>
  <c r="BB108" i="30"/>
  <c r="BJ108" i="30"/>
  <c r="BB109" i="30"/>
  <c r="BR109" i="30"/>
  <c r="CO106" i="30"/>
  <c r="CW107" i="30"/>
  <c r="CG108" i="30"/>
  <c r="CW108" i="30"/>
  <c r="BC106" i="30"/>
  <c r="BK106" i="30"/>
  <c r="BC107" i="30"/>
  <c r="BC108" i="30"/>
  <c r="BK108" i="30"/>
  <c r="BC109" i="30"/>
  <c r="BS109" i="30"/>
  <c r="CH106" i="30"/>
  <c r="CP106" i="30"/>
  <c r="CH107" i="30"/>
  <c r="CH108" i="30"/>
  <c r="CP108" i="30"/>
  <c r="BD106" i="30"/>
  <c r="BL106" i="30"/>
  <c r="AV107" i="30"/>
  <c r="BD107" i="30"/>
  <c r="BD108" i="30"/>
  <c r="BL108" i="30"/>
  <c r="AV109" i="30"/>
  <c r="BD109" i="30"/>
  <c r="CI106" i="30"/>
  <c r="CQ106" i="30"/>
  <c r="CI107" i="30"/>
  <c r="CI108" i="30"/>
  <c r="CQ108" i="30"/>
  <c r="BE106" i="30"/>
  <c r="BM106" i="30"/>
  <c r="AW107" i="30"/>
  <c r="BE108" i="30"/>
  <c r="BM108" i="30"/>
  <c r="AW109" i="30"/>
  <c r="CJ106" i="30"/>
  <c r="CR106" i="30"/>
  <c r="CJ107" i="30"/>
  <c r="CJ108" i="30"/>
  <c r="CR108" i="30"/>
  <c r="BF106" i="30"/>
  <c r="BN106" i="30"/>
  <c r="AX107" i="30"/>
  <c r="BF108" i="30"/>
  <c r="BN108" i="30"/>
  <c r="AX109" i="30"/>
  <c r="CK106" i="30"/>
  <c r="CS106" i="30"/>
  <c r="CK107" i="30"/>
  <c r="CK108" i="30"/>
  <c r="CS108" i="30"/>
  <c r="AY106" i="30"/>
  <c r="BG106" i="30"/>
  <c r="BO106" i="30"/>
  <c r="AY107" i="30"/>
  <c r="BG108" i="30"/>
  <c r="AY109" i="30"/>
  <c r="CL106" i="30"/>
  <c r="CT106" i="30"/>
  <c r="CL107" i="30"/>
  <c r="CT107" i="30"/>
  <c r="CD108" i="30"/>
  <c r="CL108" i="30"/>
  <c r="R8" i="7"/>
  <c r="S8" i="7"/>
  <c r="U8" i="7"/>
  <c r="R9" i="7"/>
  <c r="S9" i="7"/>
  <c r="U9" i="7"/>
  <c r="S4" i="7" l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D278" i="33" s="1"/>
  <c r="F77" i="30"/>
  <c r="F75" i="30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5" i="33"/>
  <c r="D24" i="33"/>
  <c r="D16" i="33"/>
  <c r="D15" i="33"/>
  <c r="D6" i="33"/>
  <c r="D5" i="33"/>
  <c r="D1" i="33"/>
  <c r="DO87" i="33" l="1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C280" i="33" l="1"/>
  <c r="D280" i="33" s="1"/>
  <c r="AA119" i="29"/>
  <c r="CI13" i="30"/>
  <c r="CI24" i="30" s="1"/>
  <c r="CI69" i="30" s="1"/>
  <c r="CQ13" i="30"/>
  <c r="CQ24" i="30" s="1"/>
  <c r="CQ69" i="30" s="1"/>
  <c r="CY13" i="30"/>
  <c r="CY24" i="30" s="1"/>
  <c r="CY69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S51" i="31"/>
  <c r="I217" i="33" s="1"/>
  <c r="S50" i="31"/>
  <c r="I216" i="33" s="1"/>
  <c r="Z35" i="3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BQ31" i="30" s="1"/>
  <c r="AU30" i="30"/>
  <c r="AU29" i="30"/>
  <c r="BB29" i="30" s="1"/>
  <c r="AU28" i="30"/>
  <c r="AU27" i="30"/>
  <c r="AU26" i="30"/>
  <c r="E22" i="30"/>
  <c r="E21" i="30"/>
  <c r="E20" i="30"/>
  <c r="E18" i="30"/>
  <c r="C18" i="30"/>
  <c r="B18" i="30"/>
  <c r="E17" i="30"/>
  <c r="C17" i="30"/>
  <c r="B17" i="30"/>
  <c r="D17" i="30" s="1"/>
  <c r="E16" i="30"/>
  <c r="C16" i="30"/>
  <c r="B16" i="30"/>
  <c r="D16" i="30" s="1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Y46" i="30"/>
  <c r="DX46" i="30"/>
  <c r="DW46" i="30"/>
  <c r="DV46" i="30"/>
  <c r="DV98" i="30" s="1"/>
  <c r="DU46" i="30"/>
  <c r="DT46" i="30"/>
  <c r="DT98" i="30" s="1"/>
  <c r="DS46" i="30"/>
  <c r="DR46" i="30"/>
  <c r="DQ46" i="30"/>
  <c r="DP46" i="30"/>
  <c r="DO46" i="30"/>
  <c r="DN46" i="30"/>
  <c r="DN98" i="30" s="1"/>
  <c r="DM46" i="30"/>
  <c r="DL46" i="30"/>
  <c r="DL98" i="30" s="1"/>
  <c r="DK46" i="30"/>
  <c r="DJ46" i="30"/>
  <c r="DI46" i="30"/>
  <c r="DH46" i="30"/>
  <c r="DG46" i="30"/>
  <c r="DF46" i="30"/>
  <c r="DF98" i="30" s="1"/>
  <c r="DE46" i="30"/>
  <c r="EB45" i="30"/>
  <c r="EB97" i="30" s="1"/>
  <c r="EA45" i="30"/>
  <c r="DZ45" i="30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I45" i="30"/>
  <c r="DH45" i="30"/>
  <c r="DG45" i="30"/>
  <c r="DF45" i="30"/>
  <c r="DF97" i="30" s="1"/>
  <c r="DE45" i="30"/>
  <c r="EB44" i="30"/>
  <c r="EB96" i="30" s="1"/>
  <c r="EA44" i="30"/>
  <c r="DZ44" i="30"/>
  <c r="DY44" i="30"/>
  <c r="DX44" i="30"/>
  <c r="DW44" i="30"/>
  <c r="DV44" i="30"/>
  <c r="DV96" i="30" s="1"/>
  <c r="DU44" i="30"/>
  <c r="DT44" i="30"/>
  <c r="DT96" i="30" s="1"/>
  <c r="DS44" i="30"/>
  <c r="DR44" i="30"/>
  <c r="DQ44" i="30"/>
  <c r="DP44" i="30"/>
  <c r="DO44" i="30"/>
  <c r="DN44" i="30"/>
  <c r="DN96" i="30" s="1"/>
  <c r="DM44" i="30"/>
  <c r="DL44" i="30"/>
  <c r="DL96" i="30" s="1"/>
  <c r="DK44" i="30"/>
  <c r="DJ44" i="30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Q42" i="30"/>
  <c r="DP42" i="30"/>
  <c r="DO42" i="30"/>
  <c r="DN42" i="30"/>
  <c r="DN95" i="30" s="1"/>
  <c r="DM42" i="30"/>
  <c r="DL42" i="30"/>
  <c r="DL95" i="30" s="1"/>
  <c r="DK42" i="30"/>
  <c r="DJ42" i="30"/>
  <c r="DI42" i="30"/>
  <c r="DH42" i="30"/>
  <c r="DG42" i="30"/>
  <c r="DF42" i="30"/>
  <c r="DF95" i="30" s="1"/>
  <c r="DE42" i="30"/>
  <c r="EB41" i="30"/>
  <c r="EB94" i="30" s="1"/>
  <c r="EA41" i="30"/>
  <c r="DZ41" i="30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I41" i="30"/>
  <c r="DH41" i="30"/>
  <c r="DG41" i="30"/>
  <c r="DF41" i="30"/>
  <c r="DF94" i="30" s="1"/>
  <c r="DE41" i="30"/>
  <c r="EB40" i="30"/>
  <c r="EB93" i="30" s="1"/>
  <c r="EA40" i="30"/>
  <c r="DZ40" i="30"/>
  <c r="DY40" i="30"/>
  <c r="DX40" i="30"/>
  <c r="DW40" i="30"/>
  <c r="DV40" i="30"/>
  <c r="DV93" i="30" s="1"/>
  <c r="DU40" i="30"/>
  <c r="DT40" i="30"/>
  <c r="DT93" i="30" s="1"/>
  <c r="DS40" i="30"/>
  <c r="DR40" i="30"/>
  <c r="DQ40" i="30"/>
  <c r="DP40" i="30"/>
  <c r="DO40" i="30"/>
  <c r="DN40" i="30"/>
  <c r="DN93" i="30" s="1"/>
  <c r="DM40" i="30"/>
  <c r="DL40" i="30"/>
  <c r="DK40" i="30"/>
  <c r="DJ40" i="30"/>
  <c r="DI40" i="30"/>
  <c r="DH40" i="30"/>
  <c r="DG40" i="30"/>
  <c r="DF40" i="30"/>
  <c r="DF93" i="30" s="1"/>
  <c r="DE40" i="30"/>
  <c r="EB39" i="30"/>
  <c r="EB92" i="30" s="1"/>
  <c r="EA39" i="30"/>
  <c r="DZ39" i="30"/>
  <c r="DY39" i="30"/>
  <c r="DX39" i="30"/>
  <c r="DW39" i="30"/>
  <c r="DV39" i="30"/>
  <c r="DV92" i="30" s="1"/>
  <c r="DU39" i="30"/>
  <c r="DT39" i="30"/>
  <c r="DS39" i="30"/>
  <c r="DR39" i="30"/>
  <c r="DQ39" i="30"/>
  <c r="DP39" i="30"/>
  <c r="DO39" i="30"/>
  <c r="DN39" i="30"/>
  <c r="DN92" i="30" s="1"/>
  <c r="DM39" i="30"/>
  <c r="DL39" i="30"/>
  <c r="DL92" i="30" s="1"/>
  <c r="DK39" i="30"/>
  <c r="DJ39" i="30"/>
  <c r="DI39" i="30"/>
  <c r="DH39" i="30"/>
  <c r="DG39" i="30"/>
  <c r="DF39" i="30"/>
  <c r="DF92" i="30" s="1"/>
  <c r="DE39" i="30"/>
  <c r="EB38" i="30"/>
  <c r="EB91" i="30" s="1"/>
  <c r="EA38" i="30"/>
  <c r="DZ38" i="30"/>
  <c r="DY38" i="30"/>
  <c r="DX38" i="30"/>
  <c r="DW38" i="30"/>
  <c r="DV38" i="30"/>
  <c r="DV91" i="30" s="1"/>
  <c r="DU38" i="30"/>
  <c r="DT38" i="30"/>
  <c r="DT91" i="30" s="1"/>
  <c r="DS38" i="30"/>
  <c r="DR38" i="30"/>
  <c r="DQ38" i="30"/>
  <c r="DP38" i="30"/>
  <c r="DO38" i="30"/>
  <c r="DN38" i="30"/>
  <c r="DN91" i="30" s="1"/>
  <c r="DM38" i="30"/>
  <c r="DL38" i="30"/>
  <c r="DL91" i="30" s="1"/>
  <c r="DK38" i="30"/>
  <c r="DJ38" i="30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Q37" i="30"/>
  <c r="DP37" i="30"/>
  <c r="DO37" i="30"/>
  <c r="DN37" i="30"/>
  <c r="DN90" i="30" s="1"/>
  <c r="DM37" i="30"/>
  <c r="DL37" i="30"/>
  <c r="DL90" i="30" s="1"/>
  <c r="DK37" i="30"/>
  <c r="DJ37" i="30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U13" i="30"/>
  <c r="DT13" i="30"/>
  <c r="DT24" i="30" s="1"/>
  <c r="DT69" i="30" s="1"/>
  <c r="DS13" i="30"/>
  <c r="DR13" i="30"/>
  <c r="DQ13" i="30"/>
  <c r="DP13" i="30"/>
  <c r="DO13" i="30"/>
  <c r="DN13" i="30"/>
  <c r="DN24" i="30" s="1"/>
  <c r="DN69" i="30" s="1"/>
  <c r="DM13" i="30"/>
  <c r="DL13" i="30"/>
  <c r="DL24" i="30" s="1"/>
  <c r="DL69" i="30" s="1"/>
  <c r="DK13" i="30"/>
  <c r="DJ13" i="30"/>
  <c r="DI13" i="30"/>
  <c r="DH13" i="30"/>
  <c r="DG13" i="30"/>
  <c r="DF13" i="30"/>
  <c r="DF24" i="30" s="1"/>
  <c r="DF69" i="30" s="1"/>
  <c r="DE13" i="30"/>
  <c r="DC13" i="30"/>
  <c r="DC24" i="30" s="1"/>
  <c r="DC57" i="30" s="1"/>
  <c r="EB12" i="30"/>
  <c r="EA12" i="30"/>
  <c r="DZ12" i="30"/>
  <c r="DY12" i="30"/>
  <c r="DX12" i="30"/>
  <c r="DW12" i="30"/>
  <c r="DW23" i="30" s="1"/>
  <c r="DW68" i="30" s="1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G23" i="30" s="1"/>
  <c r="DG68" i="30" s="1"/>
  <c r="DF12" i="30"/>
  <c r="DE12" i="30"/>
  <c r="DE23" i="30" s="1"/>
  <c r="DE68" i="30" s="1"/>
  <c r="DC12" i="30"/>
  <c r="EB11" i="30"/>
  <c r="EA11" i="30"/>
  <c r="DZ11" i="30"/>
  <c r="DY11" i="30"/>
  <c r="DX11" i="30"/>
  <c r="DX22" i="30" s="1"/>
  <c r="DX67" i="30" s="1"/>
  <c r="DW11" i="30"/>
  <c r="DV11" i="30"/>
  <c r="DV22" i="30" s="1"/>
  <c r="DV67" i="30" s="1"/>
  <c r="DU11" i="30"/>
  <c r="DT11" i="30"/>
  <c r="DS11" i="30"/>
  <c r="DR11" i="30"/>
  <c r="DQ11" i="30"/>
  <c r="DP11" i="30"/>
  <c r="DP22" i="30" s="1"/>
  <c r="DP67" i="30" s="1"/>
  <c r="DO11" i="30"/>
  <c r="DN11" i="30"/>
  <c r="DM11" i="30"/>
  <c r="DL11" i="30"/>
  <c r="DK11" i="30"/>
  <c r="DJ11" i="30"/>
  <c r="DI11" i="30"/>
  <c r="DH11" i="30"/>
  <c r="DH22" i="30" s="1"/>
  <c r="DH67" i="30" s="1"/>
  <c r="DG11" i="30"/>
  <c r="DF11" i="30"/>
  <c r="DF22" i="30" s="1"/>
  <c r="DF67" i="30" s="1"/>
  <c r="DE11" i="30"/>
  <c r="DC11" i="30"/>
  <c r="EB10" i="30"/>
  <c r="EA10" i="30"/>
  <c r="DZ10" i="30"/>
  <c r="DY10" i="30"/>
  <c r="DY21" i="30" s="1"/>
  <c r="DY66" i="30" s="1"/>
  <c r="DX10" i="30"/>
  <c r="DW10" i="30"/>
  <c r="DW21" i="30" s="1"/>
  <c r="DV10" i="30"/>
  <c r="DU10" i="30"/>
  <c r="DT10" i="30"/>
  <c r="DS10" i="30"/>
  <c r="DR10" i="30"/>
  <c r="DQ10" i="30"/>
  <c r="DQ21" i="30" s="1"/>
  <c r="DQ66" i="30" s="1"/>
  <c r="DP10" i="30"/>
  <c r="DO10" i="30"/>
  <c r="DN10" i="30"/>
  <c r="DM10" i="30"/>
  <c r="DL10" i="30"/>
  <c r="DK10" i="30"/>
  <c r="DJ10" i="30"/>
  <c r="DI10" i="30"/>
  <c r="DI21" i="30" s="1"/>
  <c r="DI66" i="30" s="1"/>
  <c r="DH10" i="30"/>
  <c r="DG10" i="30"/>
  <c r="DG21" i="30" s="1"/>
  <c r="DG66" i="30" s="1"/>
  <c r="DF10" i="30"/>
  <c r="DE10" i="30"/>
  <c r="DC10" i="30"/>
  <c r="EB9" i="30"/>
  <c r="EA9" i="30"/>
  <c r="DZ9" i="30"/>
  <c r="DZ20" i="30" s="1"/>
  <c r="DZ65" i="30" s="1"/>
  <c r="DY9" i="30"/>
  <c r="DX9" i="30"/>
  <c r="DW9" i="30"/>
  <c r="DV9" i="30"/>
  <c r="DU9" i="30"/>
  <c r="DT9" i="30"/>
  <c r="DS9" i="30"/>
  <c r="DR9" i="30"/>
  <c r="DR20" i="30" s="1"/>
  <c r="DR65" i="30" s="1"/>
  <c r="DQ9" i="30"/>
  <c r="DP9" i="30"/>
  <c r="DP20" i="30" s="1"/>
  <c r="DP65" i="30" s="1"/>
  <c r="DO9" i="30"/>
  <c r="DN9" i="30"/>
  <c r="DM9" i="30"/>
  <c r="DL9" i="30"/>
  <c r="DK9" i="30"/>
  <c r="DJ9" i="30"/>
  <c r="DJ20" i="30" s="1"/>
  <c r="DJ65" i="30" s="1"/>
  <c r="DI9" i="30"/>
  <c r="DH9" i="30"/>
  <c r="DH20" i="30" s="1"/>
  <c r="DH65" i="30" s="1"/>
  <c r="DG9" i="30"/>
  <c r="DF9" i="30"/>
  <c r="DE9" i="30"/>
  <c r="DC9" i="30"/>
  <c r="EB8" i="30"/>
  <c r="EA8" i="30"/>
  <c r="EA19" i="30" s="1"/>
  <c r="EA64" i="30" s="1"/>
  <c r="DZ8" i="30"/>
  <c r="DY8" i="30"/>
  <c r="DY19" i="30" s="1"/>
  <c r="DY64" i="30" s="1"/>
  <c r="DX8" i="30"/>
  <c r="DW8" i="30"/>
  <c r="DV8" i="30"/>
  <c r="DU8" i="30"/>
  <c r="DT8" i="30"/>
  <c r="DS8" i="30"/>
  <c r="DS19" i="30" s="1"/>
  <c r="DS64" i="30" s="1"/>
  <c r="DR8" i="30"/>
  <c r="DQ8" i="30"/>
  <c r="DQ19" i="30" s="1"/>
  <c r="DQ64" i="30" s="1"/>
  <c r="DP8" i="30"/>
  <c r="DO8" i="30"/>
  <c r="DN8" i="30"/>
  <c r="DM8" i="30"/>
  <c r="DL8" i="30"/>
  <c r="DK8" i="30"/>
  <c r="DK19" i="30" s="1"/>
  <c r="DK64" i="30" s="1"/>
  <c r="DJ8" i="30"/>
  <c r="DI8" i="30"/>
  <c r="DI19" i="30" s="1"/>
  <c r="DI64" i="30" s="1"/>
  <c r="DH8" i="30"/>
  <c r="DG8" i="30"/>
  <c r="DF8" i="30"/>
  <c r="DE8" i="30"/>
  <c r="DC8" i="30"/>
  <c r="EB7" i="30"/>
  <c r="EB18" i="30" s="1"/>
  <c r="EB63" i="30" s="1"/>
  <c r="EA7" i="30"/>
  <c r="DZ7" i="30"/>
  <c r="DY7" i="30"/>
  <c r="DX7" i="30"/>
  <c r="DW7" i="30"/>
  <c r="DV7" i="30"/>
  <c r="DU7" i="30"/>
  <c r="DT7" i="30"/>
  <c r="DT18" i="30" s="1"/>
  <c r="DT63" i="30" s="1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S17" i="30" s="1"/>
  <c r="DS62" i="30" s="1"/>
  <c r="DR6" i="30"/>
  <c r="DQ6" i="30"/>
  <c r="DP6" i="30"/>
  <c r="DO6" i="30"/>
  <c r="DN6" i="30"/>
  <c r="DM6" i="30"/>
  <c r="DM17" i="30" s="1"/>
  <c r="DM62" i="30" s="1"/>
  <c r="DL6" i="30"/>
  <c r="DK6" i="30"/>
  <c r="DK17" i="30" s="1"/>
  <c r="DK62" i="30" s="1"/>
  <c r="DJ6" i="30"/>
  <c r="DI6" i="30"/>
  <c r="DH6" i="30"/>
  <c r="DG6" i="30"/>
  <c r="DF6" i="30"/>
  <c r="DE6" i="30"/>
  <c r="DE17" i="30" s="1"/>
  <c r="DE62" i="30" s="1"/>
  <c r="DC6" i="30"/>
  <c r="EB5" i="30"/>
  <c r="EB16" i="30" s="1"/>
  <c r="EB61" i="30" s="1"/>
  <c r="EA5" i="30"/>
  <c r="DZ5" i="30"/>
  <c r="DY5" i="30"/>
  <c r="DX5" i="30"/>
  <c r="DW5" i="30"/>
  <c r="DV5" i="30"/>
  <c r="DV16" i="30" s="1"/>
  <c r="DV61" i="30" s="1"/>
  <c r="DU5" i="30"/>
  <c r="DT5" i="30"/>
  <c r="DT16" i="30" s="1"/>
  <c r="DT61" i="30" s="1"/>
  <c r="DS5" i="30"/>
  <c r="DR5" i="30"/>
  <c r="DQ5" i="30"/>
  <c r="DP5" i="30"/>
  <c r="DO5" i="30"/>
  <c r="DN5" i="30"/>
  <c r="DN16" i="30" s="1"/>
  <c r="DN61" i="30" s="1"/>
  <c r="DM5" i="30"/>
  <c r="DL5" i="30"/>
  <c r="DK5" i="30"/>
  <c r="DJ5" i="30"/>
  <c r="DI5" i="30"/>
  <c r="DH5" i="30"/>
  <c r="DG5" i="30"/>
  <c r="DF5" i="30"/>
  <c r="DF16" i="30" s="1"/>
  <c r="DF61" i="30" s="1"/>
  <c r="DE5" i="30"/>
  <c r="DC5" i="30"/>
  <c r="DC27" i="30" s="1"/>
  <c r="DC91" i="30" s="1"/>
  <c r="EB4" i="30"/>
  <c r="EA4" i="30"/>
  <c r="DZ4" i="30"/>
  <c r="DY4" i="30"/>
  <c r="DX4" i="30"/>
  <c r="DW4" i="30"/>
  <c r="DW15" i="30" s="1"/>
  <c r="DW60" i="30" s="1"/>
  <c r="DV4" i="30"/>
  <c r="DU4" i="30"/>
  <c r="DU15" i="30" s="1"/>
  <c r="DU60" i="30" s="1"/>
  <c r="DT4" i="30"/>
  <c r="DS4" i="30"/>
  <c r="DR4" i="30"/>
  <c r="DQ4" i="30"/>
  <c r="DP4" i="30"/>
  <c r="DO4" i="30"/>
  <c r="DO15" i="30" s="1"/>
  <c r="DO60" i="30" s="1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E60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X45" i="30"/>
  <c r="CW45" i="30"/>
  <c r="CV45" i="30"/>
  <c r="CU45" i="30"/>
  <c r="CU97" i="30" s="1"/>
  <c r="CT45" i="30"/>
  <c r="CS45" i="30"/>
  <c r="CR45" i="30"/>
  <c r="CR97" i="30" s="1"/>
  <c r="CQ45" i="30"/>
  <c r="CP45" i="30"/>
  <c r="CO45" i="30"/>
  <c r="CN45" i="30"/>
  <c r="CM45" i="30"/>
  <c r="CM97" i="30" s="1"/>
  <c r="CL45" i="30"/>
  <c r="CK45" i="30"/>
  <c r="CK97" i="30" s="1"/>
  <c r="CJ45" i="30"/>
  <c r="CI45" i="30"/>
  <c r="CH45" i="30"/>
  <c r="CG45" i="30"/>
  <c r="CF45" i="30"/>
  <c r="CE45" i="30"/>
  <c r="CE97" i="30" s="1"/>
  <c r="CD45" i="30"/>
  <c r="CC45" i="30"/>
  <c r="CC97" i="30" s="1"/>
  <c r="CB45" i="30"/>
  <c r="CY44" i="30"/>
  <c r="CX44" i="30"/>
  <c r="CW44" i="30"/>
  <c r="CV44" i="30"/>
  <c r="CU44" i="30"/>
  <c r="CU96" i="30" s="1"/>
  <c r="CT44" i="30"/>
  <c r="CS44" i="30"/>
  <c r="CS96" i="30" s="1"/>
  <c r="CR44" i="30"/>
  <c r="CQ44" i="30"/>
  <c r="CP44" i="30"/>
  <c r="CO44" i="30"/>
  <c r="CN44" i="30"/>
  <c r="CM44" i="30"/>
  <c r="CM96" i="30" s="1"/>
  <c r="CL44" i="30"/>
  <c r="CK44" i="30"/>
  <c r="CK96" i="30" s="1"/>
  <c r="CJ44" i="30"/>
  <c r="CI44" i="30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U95" i="30" s="1"/>
  <c r="CT42" i="30"/>
  <c r="CS42" i="30"/>
  <c r="CS95" i="30" s="1"/>
  <c r="CR42" i="30"/>
  <c r="CQ42" i="30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H41" i="30"/>
  <c r="CG41" i="30"/>
  <c r="CF41" i="30"/>
  <c r="CE41" i="30"/>
  <c r="CE94" i="30" s="1"/>
  <c r="CD41" i="30"/>
  <c r="CC41" i="30"/>
  <c r="CC94" i="30" s="1"/>
  <c r="CB41" i="30"/>
  <c r="CY40" i="30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P40" i="30"/>
  <c r="CO40" i="30"/>
  <c r="CN40" i="30"/>
  <c r="CM40" i="30"/>
  <c r="CM93" i="30" s="1"/>
  <c r="CL40" i="30"/>
  <c r="CK40" i="30"/>
  <c r="CK93" i="30" s="1"/>
  <c r="CJ40" i="30"/>
  <c r="CI40" i="30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P39" i="30"/>
  <c r="CO39" i="30"/>
  <c r="CN39" i="30"/>
  <c r="CM39" i="30"/>
  <c r="CM92" i="30" s="1"/>
  <c r="CL39" i="30"/>
  <c r="CK39" i="30"/>
  <c r="CK92" i="30" s="1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W13" i="30"/>
  <c r="CV13" i="30"/>
  <c r="CU13" i="30"/>
  <c r="CU24" i="30" s="1"/>
  <c r="CU69" i="30" s="1"/>
  <c r="CT13" i="30"/>
  <c r="CT24" i="30" s="1"/>
  <c r="CT69" i="30" s="1"/>
  <c r="CS13" i="30"/>
  <c r="CR13" i="30"/>
  <c r="CR24" i="30" s="1"/>
  <c r="CR69" i="30" s="1"/>
  <c r="CP13" i="30"/>
  <c r="CP24" i="30" s="1"/>
  <c r="CP69" i="30" s="1"/>
  <c r="CO13" i="30"/>
  <c r="CN13" i="30"/>
  <c r="CM13" i="30"/>
  <c r="CL13" i="30"/>
  <c r="CL24" i="30" s="1"/>
  <c r="CL69" i="30" s="1"/>
  <c r="CK13" i="30"/>
  <c r="CK24" i="30" s="1"/>
  <c r="CK69" i="30" s="1"/>
  <c r="CJ13" i="30"/>
  <c r="CH13" i="30"/>
  <c r="CH24" i="30" s="1"/>
  <c r="CH69" i="30" s="1"/>
  <c r="CG13" i="30"/>
  <c r="CF13" i="30"/>
  <c r="CE13" i="30"/>
  <c r="CD13" i="30"/>
  <c r="CC13" i="30"/>
  <c r="CC24" i="30" s="1"/>
  <c r="CC69" i="30" s="1"/>
  <c r="CB13" i="30"/>
  <c r="CB24" i="30" s="1"/>
  <c r="CB69" i="30" s="1"/>
  <c r="BZ13" i="30"/>
  <c r="CY12" i="30"/>
  <c r="CY23" i="30" s="1"/>
  <c r="CY68" i="30" s="1"/>
  <c r="CX12" i="30"/>
  <c r="CW12" i="30"/>
  <c r="CV12" i="30"/>
  <c r="CU12" i="30"/>
  <c r="CT12" i="30"/>
  <c r="CS12" i="30"/>
  <c r="CS23" i="30" s="1"/>
  <c r="CS68" i="30" s="1"/>
  <c r="CR12" i="30"/>
  <c r="CQ12" i="30"/>
  <c r="CQ23" i="30" s="1"/>
  <c r="CQ68" i="30" s="1"/>
  <c r="CP12" i="30"/>
  <c r="CO12" i="30"/>
  <c r="CN12" i="30"/>
  <c r="CM12" i="30"/>
  <c r="CL12" i="30"/>
  <c r="CK12" i="30"/>
  <c r="CK23" i="30" s="1"/>
  <c r="CK68" i="30" s="1"/>
  <c r="CJ12" i="30"/>
  <c r="CI12" i="30"/>
  <c r="CI23" i="30" s="1"/>
  <c r="CI68" i="30" s="1"/>
  <c r="CH12" i="30"/>
  <c r="CG12" i="30"/>
  <c r="CF12" i="30"/>
  <c r="CE12" i="30"/>
  <c r="CD12" i="30"/>
  <c r="CC12" i="30"/>
  <c r="CC23" i="30" s="1"/>
  <c r="CC68" i="30" s="1"/>
  <c r="CB12" i="30"/>
  <c r="BZ12" i="30"/>
  <c r="BZ23" i="30" s="1"/>
  <c r="BZ56" i="30" s="1"/>
  <c r="CY11" i="30"/>
  <c r="CX11" i="30"/>
  <c r="CW11" i="30"/>
  <c r="CV11" i="30"/>
  <c r="CU11" i="30"/>
  <c r="CT11" i="30"/>
  <c r="CT22" i="30" s="1"/>
  <c r="CT67" i="30" s="1"/>
  <c r="CS11" i="30"/>
  <c r="CR11" i="30"/>
  <c r="CR22" i="30" s="1"/>
  <c r="CR67" i="30" s="1"/>
  <c r="CQ11" i="30"/>
  <c r="CP11" i="30"/>
  <c r="CO11" i="30"/>
  <c r="CN11" i="30"/>
  <c r="CM11" i="30"/>
  <c r="CL11" i="30"/>
  <c r="CL22" i="30" s="1"/>
  <c r="CL67" i="30" s="1"/>
  <c r="CK11" i="30"/>
  <c r="CJ11" i="30"/>
  <c r="CI11" i="30"/>
  <c r="CH11" i="30"/>
  <c r="CG11" i="30"/>
  <c r="CF11" i="30"/>
  <c r="CE11" i="30"/>
  <c r="CD11" i="30"/>
  <c r="CD22" i="30" s="1"/>
  <c r="CD67" i="30" s="1"/>
  <c r="CC11" i="30"/>
  <c r="CB11" i="30"/>
  <c r="CB22" i="30" s="1"/>
  <c r="CB67" i="30" s="1"/>
  <c r="BZ11" i="30"/>
  <c r="CY10" i="30"/>
  <c r="CX10" i="30"/>
  <c r="CW10" i="30"/>
  <c r="CV10" i="30"/>
  <c r="CU10" i="30"/>
  <c r="CU21" i="30" s="1"/>
  <c r="CU66" i="30" s="1"/>
  <c r="CT10" i="30"/>
  <c r="CS10" i="30"/>
  <c r="CS21" i="30" s="1"/>
  <c r="CS66" i="30" s="1"/>
  <c r="CR10" i="30"/>
  <c r="CQ10" i="30"/>
  <c r="CP10" i="30"/>
  <c r="CO10" i="30"/>
  <c r="CN10" i="30"/>
  <c r="CM10" i="30"/>
  <c r="CM21" i="30" s="1"/>
  <c r="CM66" i="30" s="1"/>
  <c r="CL10" i="30"/>
  <c r="CK10" i="30"/>
  <c r="CK21" i="30" s="1"/>
  <c r="CK66" i="30" s="1"/>
  <c r="CJ10" i="30"/>
  <c r="CI10" i="30"/>
  <c r="CH10" i="30"/>
  <c r="CG10" i="30"/>
  <c r="CF10" i="30"/>
  <c r="CE10" i="30"/>
  <c r="CE21" i="30" s="1"/>
  <c r="CE66" i="30" s="1"/>
  <c r="CD10" i="30"/>
  <c r="CC10" i="30"/>
  <c r="CC21" i="30" s="1"/>
  <c r="CC66" i="30" s="1"/>
  <c r="CB10" i="30"/>
  <c r="BZ10" i="30"/>
  <c r="CY9" i="30"/>
  <c r="CX9" i="30"/>
  <c r="CW9" i="30"/>
  <c r="CV9" i="30"/>
  <c r="CV20" i="30" s="1"/>
  <c r="CV65" i="30" s="1"/>
  <c r="CU9" i="30"/>
  <c r="CT9" i="30"/>
  <c r="CT20" i="30" s="1"/>
  <c r="CT65" i="30" s="1"/>
  <c r="CS9" i="30"/>
  <c r="CR9" i="30"/>
  <c r="CQ9" i="30"/>
  <c r="CP9" i="30"/>
  <c r="CO9" i="30"/>
  <c r="CN9" i="30"/>
  <c r="CN20" i="30" s="1"/>
  <c r="CN65" i="30" s="1"/>
  <c r="CM9" i="30"/>
  <c r="CL9" i="30"/>
  <c r="CL20" i="30" s="1"/>
  <c r="CL65" i="30" s="1"/>
  <c r="CK9" i="30"/>
  <c r="CJ9" i="30"/>
  <c r="CI9" i="30"/>
  <c r="CH9" i="30"/>
  <c r="CG9" i="30"/>
  <c r="CF9" i="30"/>
  <c r="CF20" i="30" s="1"/>
  <c r="CF65" i="30" s="1"/>
  <c r="CE9" i="30"/>
  <c r="CD9" i="30"/>
  <c r="CD20" i="30" s="1"/>
  <c r="CD65" i="30" s="1"/>
  <c r="CC9" i="30"/>
  <c r="CB9" i="30"/>
  <c r="BZ9" i="30"/>
  <c r="CY8" i="30"/>
  <c r="CX8" i="30"/>
  <c r="CW8" i="30"/>
  <c r="CW19" i="30" s="1"/>
  <c r="CW64" i="30" s="1"/>
  <c r="CV8" i="30"/>
  <c r="CU8" i="30"/>
  <c r="CU19" i="30" s="1"/>
  <c r="CU64" i="30" s="1"/>
  <c r="CT8" i="30"/>
  <c r="CS8" i="30"/>
  <c r="CR8" i="30"/>
  <c r="CQ8" i="30"/>
  <c r="CP8" i="30"/>
  <c r="CO8" i="30"/>
  <c r="CO19" i="30" s="1"/>
  <c r="CO64" i="30" s="1"/>
  <c r="CN8" i="30"/>
  <c r="CM8" i="30"/>
  <c r="CM19" i="30" s="1"/>
  <c r="CM64" i="30" s="1"/>
  <c r="CL8" i="30"/>
  <c r="CK8" i="30"/>
  <c r="CJ8" i="30"/>
  <c r="CI8" i="30"/>
  <c r="CH8" i="30"/>
  <c r="CG8" i="30"/>
  <c r="CG19" i="30" s="1"/>
  <c r="CG64" i="30" s="1"/>
  <c r="CF8" i="30"/>
  <c r="CE8" i="30"/>
  <c r="CE19" i="30" s="1"/>
  <c r="CE64" i="30" s="1"/>
  <c r="CD8" i="30"/>
  <c r="CC8" i="30"/>
  <c r="CB8" i="30"/>
  <c r="BZ8" i="30"/>
  <c r="CY7" i="30"/>
  <c r="CX7" i="30"/>
  <c r="CX18" i="30" s="1"/>
  <c r="CX63" i="30" s="1"/>
  <c r="CW7" i="30"/>
  <c r="CV7" i="30"/>
  <c r="CV18" i="30" s="1"/>
  <c r="CV63" i="30" s="1"/>
  <c r="CU7" i="30"/>
  <c r="CT7" i="30"/>
  <c r="CS7" i="30"/>
  <c r="CR7" i="30"/>
  <c r="CQ7" i="30"/>
  <c r="CP7" i="30"/>
  <c r="CP18" i="30" s="1"/>
  <c r="CP63" i="30" s="1"/>
  <c r="CO7" i="30"/>
  <c r="CN7" i="30"/>
  <c r="CN18" i="30" s="1"/>
  <c r="CN63" i="30" s="1"/>
  <c r="CM7" i="30"/>
  <c r="CL7" i="30"/>
  <c r="CK7" i="30"/>
  <c r="CJ7" i="30"/>
  <c r="CI7" i="30"/>
  <c r="CH7" i="30"/>
  <c r="CH18" i="30" s="1"/>
  <c r="CH63" i="30" s="1"/>
  <c r="CG7" i="30"/>
  <c r="CF7" i="30"/>
  <c r="CF18" i="30" s="1"/>
  <c r="CF63" i="30" s="1"/>
  <c r="CE7" i="30"/>
  <c r="CD7" i="30"/>
  <c r="CC7" i="30"/>
  <c r="CB7" i="30"/>
  <c r="BZ7" i="30"/>
  <c r="CY6" i="30"/>
  <c r="CY17" i="30" s="1"/>
  <c r="CY62" i="30" s="1"/>
  <c r="CX6" i="30"/>
  <c r="CX17" i="30" s="1"/>
  <c r="CX62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U5" i="30"/>
  <c r="CT5" i="30"/>
  <c r="CS5" i="30"/>
  <c r="CR5" i="30"/>
  <c r="CR16" i="30" s="1"/>
  <c r="CQ5" i="30"/>
  <c r="CQ16" i="30" s="1"/>
  <c r="CP5" i="30"/>
  <c r="CP16" i="30" s="1"/>
  <c r="CO5" i="30"/>
  <c r="CN5" i="30"/>
  <c r="CM5" i="30"/>
  <c r="CL5" i="30"/>
  <c r="CK5" i="30"/>
  <c r="CJ5" i="30"/>
  <c r="CI5" i="30"/>
  <c r="CI16" i="30" s="1"/>
  <c r="CH5" i="30"/>
  <c r="CH16" i="30" s="1"/>
  <c r="CG5" i="30"/>
  <c r="CG91" i="30" s="1"/>
  <c r="CF5" i="30"/>
  <c r="CE5" i="30"/>
  <c r="CD5" i="30"/>
  <c r="CC5" i="30"/>
  <c r="CB5" i="30"/>
  <c r="CB16" i="30" s="1"/>
  <c r="CB61" i="30" s="1"/>
  <c r="CB107" i="30" s="1"/>
  <c r="BZ5" i="30"/>
  <c r="CY4" i="30"/>
  <c r="CY15" i="30" s="1"/>
  <c r="CY60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I90" i="30" s="1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N98" i="30" s="1"/>
  <c r="BM46" i="30"/>
  <c r="BL46" i="30"/>
  <c r="BL98" i="30" s="1"/>
  <c r="BK46" i="30"/>
  <c r="BJ46" i="30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I44" i="30"/>
  <c r="BH44" i="30"/>
  <c r="BG44" i="30"/>
  <c r="BF44" i="30"/>
  <c r="BF96" i="30" s="1"/>
  <c r="BE44" i="30"/>
  <c r="BD44" i="30"/>
  <c r="BD96" i="30" s="1"/>
  <c r="BC44" i="30"/>
  <c r="BB44" i="30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Q42" i="30"/>
  <c r="BP42" i="30"/>
  <c r="BO42" i="30"/>
  <c r="BN42" i="30"/>
  <c r="BN95" i="30" s="1"/>
  <c r="BM42" i="30"/>
  <c r="BL42" i="30"/>
  <c r="BL95" i="30" s="1"/>
  <c r="BK42" i="30"/>
  <c r="BJ42" i="30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A42" i="30"/>
  <c r="AZ42" i="30"/>
  <c r="AY42" i="30"/>
  <c r="AX42" i="30"/>
  <c r="AX95" i="30" s="1"/>
  <c r="AW42" i="30"/>
  <c r="AV42" i="30"/>
  <c r="AV95" i="30" s="1"/>
  <c r="BS41" i="30"/>
  <c r="BR41" i="30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A41" i="30"/>
  <c r="AZ41" i="30"/>
  <c r="AY41" i="30"/>
  <c r="AX41" i="30"/>
  <c r="AX94" i="30" s="1"/>
  <c r="AW41" i="30"/>
  <c r="AV41" i="30"/>
  <c r="AV94" i="30" s="1"/>
  <c r="BS40" i="30"/>
  <c r="BR40" i="30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A40" i="30"/>
  <c r="AZ40" i="30"/>
  <c r="AY40" i="30"/>
  <c r="AX40" i="30"/>
  <c r="AX93" i="30" s="1"/>
  <c r="AW40" i="30"/>
  <c r="AV40" i="30"/>
  <c r="AV93" i="30" s="1"/>
  <c r="BS39" i="30"/>
  <c r="BR39" i="30"/>
  <c r="BQ39" i="30"/>
  <c r="BP39" i="30"/>
  <c r="BO39" i="30"/>
  <c r="BO92" i="30" s="1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E91" i="30" s="1"/>
  <c r="BD38" i="30"/>
  <c r="BD91" i="30" s="1"/>
  <c r="BC38" i="30"/>
  <c r="BC91" i="30" s="1"/>
  <c r="BB38" i="30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N90" i="30" s="1"/>
  <c r="BM37" i="30"/>
  <c r="BL37" i="30"/>
  <c r="BL90" i="30" s="1"/>
  <c r="BK37" i="30"/>
  <c r="BJ37" i="30"/>
  <c r="BI37" i="30"/>
  <c r="BH37" i="30"/>
  <c r="BG37" i="30"/>
  <c r="BF37" i="30"/>
  <c r="BF90" i="30" s="1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K12" i="30"/>
  <c r="BJ12" i="30"/>
  <c r="BI12" i="30"/>
  <c r="BH12" i="30"/>
  <c r="BH23" i="30" s="1"/>
  <c r="BG12" i="30"/>
  <c r="BF12" i="30"/>
  <c r="BF23" i="30" s="1"/>
  <c r="BE12" i="30"/>
  <c r="BD12" i="30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F20" i="30" s="1"/>
  <c r="BE9" i="30"/>
  <c r="BD9" i="30"/>
  <c r="BC9" i="30"/>
  <c r="BB9" i="30"/>
  <c r="BA9" i="30"/>
  <c r="AZ9" i="30"/>
  <c r="AZ20" i="30" s="1"/>
  <c r="AY9" i="30"/>
  <c r="AX9" i="30"/>
  <c r="AX20" i="30" s="1"/>
  <c r="AW9" i="30"/>
  <c r="AV9" i="30"/>
  <c r="BS8" i="30"/>
  <c r="BR8" i="30"/>
  <c r="BQ8" i="30"/>
  <c r="BP8" i="30"/>
  <c r="BP19" i="30" s="1"/>
  <c r="BO8" i="30"/>
  <c r="BN8" i="30"/>
  <c r="BN19" i="30" s="1"/>
  <c r="BN75" i="30" s="1"/>
  <c r="BM8" i="30"/>
  <c r="BL8" i="30"/>
  <c r="BK8" i="30"/>
  <c r="BJ8" i="30"/>
  <c r="BI8" i="30"/>
  <c r="BH8" i="30"/>
  <c r="BH19" i="30" s="1"/>
  <c r="BG8" i="30"/>
  <c r="BF8" i="30"/>
  <c r="BF19" i="30" s="1"/>
  <c r="BF75" i="30" s="1"/>
  <c r="BE8" i="30"/>
  <c r="BD8" i="30"/>
  <c r="BC8" i="30"/>
  <c r="BB8" i="30"/>
  <c r="BA8" i="30"/>
  <c r="AZ8" i="30"/>
  <c r="AZ19" i="30" s="1"/>
  <c r="AY8" i="30"/>
  <c r="AX8" i="30"/>
  <c r="AX19" i="30" s="1"/>
  <c r="AX75" i="30" s="1"/>
  <c r="AW8" i="30"/>
  <c r="AV8" i="30"/>
  <c r="BS7" i="30"/>
  <c r="BR7" i="30"/>
  <c r="BQ7" i="30"/>
  <c r="BP7" i="30"/>
  <c r="BP18" i="30" s="1"/>
  <c r="BO7" i="30"/>
  <c r="BN7" i="30"/>
  <c r="BN18" i="30" s="1"/>
  <c r="BM7" i="30"/>
  <c r="BL7" i="30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BS6" i="30"/>
  <c r="BR6" i="30"/>
  <c r="BQ6" i="30"/>
  <c r="BP6" i="30"/>
  <c r="BP17" i="30" s="1"/>
  <c r="BO6" i="30"/>
  <c r="BN6" i="30"/>
  <c r="BN17" i="30" s="1"/>
  <c r="BM6" i="30"/>
  <c r="BM92" i="30" s="1"/>
  <c r="BL6" i="30"/>
  <c r="BK6" i="30"/>
  <c r="BJ6" i="30"/>
  <c r="BI6" i="30"/>
  <c r="BH6" i="30"/>
  <c r="BH17" i="30" s="1"/>
  <c r="BG6" i="30"/>
  <c r="BF6" i="30"/>
  <c r="BF17" i="30" s="1"/>
  <c r="BE6" i="30"/>
  <c r="BD6" i="30"/>
  <c r="BC6" i="30"/>
  <c r="BB6" i="30"/>
  <c r="BA6" i="30"/>
  <c r="AZ6" i="30"/>
  <c r="AZ17" i="30" s="1"/>
  <c r="AY6" i="30"/>
  <c r="AX6" i="30"/>
  <c r="AX17" i="30" s="1"/>
  <c r="AW6" i="30"/>
  <c r="AW92" i="30" s="1"/>
  <c r="AV6" i="30"/>
  <c r="BS5" i="30"/>
  <c r="BR5" i="30"/>
  <c r="BQ5" i="30"/>
  <c r="BN5" i="30"/>
  <c r="BN16" i="30" s="1"/>
  <c r="BM5" i="30"/>
  <c r="BL5" i="30"/>
  <c r="BL16" i="30" s="1"/>
  <c r="BK5" i="30"/>
  <c r="BJ5" i="30"/>
  <c r="BI5" i="30"/>
  <c r="BH5" i="30"/>
  <c r="BG5" i="30"/>
  <c r="BF5" i="30"/>
  <c r="BF16" i="30" s="1"/>
  <c r="BE5" i="30"/>
  <c r="BD5" i="30"/>
  <c r="BD16" i="30" s="1"/>
  <c r="BC5" i="30"/>
  <c r="BC16" i="30" s="1"/>
  <c r="BB5" i="30"/>
  <c r="BA5" i="30"/>
  <c r="AZ5" i="30"/>
  <c r="AY5" i="30"/>
  <c r="AX5" i="30"/>
  <c r="AX16" i="30" s="1"/>
  <c r="AW5" i="30"/>
  <c r="AV5" i="30"/>
  <c r="AV16" i="30" s="1"/>
  <c r="BP4" i="30"/>
  <c r="BP90" i="30" s="1"/>
  <c r="BN4" i="30"/>
  <c r="BM4" i="30"/>
  <c r="BL4" i="30"/>
  <c r="BK4" i="30"/>
  <c r="BJ4" i="30"/>
  <c r="BJ15" i="30" s="1"/>
  <c r="BI4" i="30"/>
  <c r="BH4" i="30"/>
  <c r="BG4" i="30"/>
  <c r="BG15" i="30" s="1"/>
  <c r="BF4" i="30"/>
  <c r="BE4" i="30"/>
  <c r="BD4" i="30"/>
  <c r="BC4" i="30"/>
  <c r="BB4" i="30"/>
  <c r="BB90" i="30" s="1"/>
  <c r="BA4" i="30"/>
  <c r="AZ4" i="30"/>
  <c r="AZ15" i="30" s="1"/>
  <c r="AY4" i="30"/>
  <c r="AY15" i="30" s="1"/>
  <c r="AX4" i="30"/>
  <c r="AW4" i="30"/>
  <c r="AV4" i="30"/>
  <c r="Z254" i="31"/>
  <c r="T236" i="31"/>
  <c r="C188" i="33" s="1"/>
  <c r="D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AU2" i="30" s="1"/>
  <c r="AU120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Z98" i="30"/>
  <c r="DY98" i="30"/>
  <c r="DX98" i="30"/>
  <c r="DW98" i="30"/>
  <c r="DU98" i="30"/>
  <c r="DS98" i="30"/>
  <c r="DR98" i="30"/>
  <c r="DQ98" i="30"/>
  <c r="DP98" i="30"/>
  <c r="DO98" i="30"/>
  <c r="DM98" i="30"/>
  <c r="DK98" i="30"/>
  <c r="DJ98" i="30"/>
  <c r="DI98" i="30"/>
  <c r="DH98" i="30"/>
  <c r="DG98" i="30"/>
  <c r="DE98" i="30"/>
  <c r="CY98" i="30"/>
  <c r="CX98" i="30"/>
  <c r="CW98" i="30"/>
  <c r="CV98" i="30"/>
  <c r="CT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BS98" i="30"/>
  <c r="BR98" i="30"/>
  <c r="BQ98" i="30"/>
  <c r="BP98" i="30"/>
  <c r="BO98" i="30"/>
  <c r="BM98" i="30"/>
  <c r="BK98" i="30"/>
  <c r="BJ98" i="30"/>
  <c r="BI98" i="30"/>
  <c r="BH98" i="30"/>
  <c r="BG98" i="30"/>
  <c r="BE98" i="30"/>
  <c r="BB98" i="30"/>
  <c r="BA98" i="30"/>
  <c r="AZ98" i="30"/>
  <c r="AY98" i="30"/>
  <c r="AW98" i="30"/>
  <c r="EA97" i="30"/>
  <c r="DZ97" i="30"/>
  <c r="DY97" i="30"/>
  <c r="DX97" i="30"/>
  <c r="DW97" i="30"/>
  <c r="DU97" i="30"/>
  <c r="DS97" i="30"/>
  <c r="DR97" i="30"/>
  <c r="DQ97" i="30"/>
  <c r="DP97" i="30"/>
  <c r="DO97" i="30"/>
  <c r="DM97" i="30"/>
  <c r="DK97" i="30"/>
  <c r="DJ97" i="30"/>
  <c r="DI97" i="30"/>
  <c r="DH97" i="30"/>
  <c r="DG97" i="30"/>
  <c r="DE97" i="30"/>
  <c r="CY97" i="30"/>
  <c r="CX97" i="30"/>
  <c r="CW97" i="30"/>
  <c r="CV97" i="30"/>
  <c r="CT97" i="30"/>
  <c r="CS97" i="30"/>
  <c r="CQ97" i="30"/>
  <c r="CP97" i="30"/>
  <c r="CO97" i="30"/>
  <c r="CN97" i="30"/>
  <c r="CL97" i="30"/>
  <c r="CJ97" i="30"/>
  <c r="CI97" i="30"/>
  <c r="CH97" i="30"/>
  <c r="CG97" i="30"/>
  <c r="CF97" i="30"/>
  <c r="CD97" i="30"/>
  <c r="CB97" i="30"/>
  <c r="BR97" i="30"/>
  <c r="BQ97" i="30"/>
  <c r="BP97" i="30"/>
  <c r="BO97" i="30"/>
  <c r="BM97" i="30"/>
  <c r="BJ97" i="30"/>
  <c r="BI97" i="30"/>
  <c r="BH97" i="30"/>
  <c r="BG97" i="30"/>
  <c r="BE97" i="30"/>
  <c r="BB97" i="30"/>
  <c r="BA97" i="30"/>
  <c r="AZ97" i="30"/>
  <c r="AY97" i="30"/>
  <c r="AW97" i="30"/>
  <c r="EA96" i="30"/>
  <c r="DZ96" i="30"/>
  <c r="DY96" i="30"/>
  <c r="DX96" i="30"/>
  <c r="DW96" i="30"/>
  <c r="DU96" i="30"/>
  <c r="DS96" i="30"/>
  <c r="DR96" i="30"/>
  <c r="DQ96" i="30"/>
  <c r="DP96" i="30"/>
  <c r="DO96" i="30"/>
  <c r="DM96" i="30"/>
  <c r="DK96" i="30"/>
  <c r="DJ96" i="30"/>
  <c r="DI96" i="30"/>
  <c r="DH96" i="30"/>
  <c r="DG96" i="30"/>
  <c r="DE96" i="30"/>
  <c r="CY96" i="30"/>
  <c r="CX96" i="30"/>
  <c r="CW96" i="30"/>
  <c r="CV96" i="30"/>
  <c r="CT96" i="30"/>
  <c r="CR96" i="30"/>
  <c r="CQ96" i="30"/>
  <c r="CP96" i="30"/>
  <c r="CO96" i="30"/>
  <c r="CN96" i="30"/>
  <c r="CL96" i="30"/>
  <c r="CJ96" i="30"/>
  <c r="CI96" i="30"/>
  <c r="CH96" i="30"/>
  <c r="CG96" i="30"/>
  <c r="CF96" i="30"/>
  <c r="CD96" i="30"/>
  <c r="BR96" i="30"/>
  <c r="BQ96" i="30"/>
  <c r="BP96" i="30"/>
  <c r="BO96" i="30"/>
  <c r="BM96" i="30"/>
  <c r="BJ96" i="30"/>
  <c r="BI96" i="30"/>
  <c r="BH96" i="30"/>
  <c r="BG96" i="30"/>
  <c r="BE96" i="30"/>
  <c r="BC96" i="30"/>
  <c r="BB96" i="30"/>
  <c r="BA96" i="30"/>
  <c r="AZ96" i="30"/>
  <c r="AY96" i="30"/>
  <c r="AW96" i="30"/>
  <c r="EA95" i="30"/>
  <c r="DZ95" i="30"/>
  <c r="DY95" i="30"/>
  <c r="DX95" i="30"/>
  <c r="DW95" i="30"/>
  <c r="DU95" i="30"/>
  <c r="DS95" i="30"/>
  <c r="DR95" i="30"/>
  <c r="DQ95" i="30"/>
  <c r="DP95" i="30"/>
  <c r="DO95" i="30"/>
  <c r="DM95" i="30"/>
  <c r="DK95" i="30"/>
  <c r="DJ95" i="30"/>
  <c r="DI95" i="30"/>
  <c r="DH95" i="30"/>
  <c r="DG95" i="30"/>
  <c r="DE95" i="30"/>
  <c r="CY95" i="30"/>
  <c r="CX95" i="30"/>
  <c r="CW95" i="30"/>
  <c r="CV95" i="30"/>
  <c r="CT95" i="30"/>
  <c r="CR95" i="30"/>
  <c r="CQ95" i="30"/>
  <c r="CP95" i="30"/>
  <c r="CO95" i="30"/>
  <c r="CN95" i="30"/>
  <c r="CL95" i="30"/>
  <c r="CI95" i="30"/>
  <c r="CH95" i="30"/>
  <c r="CG95" i="30"/>
  <c r="CF95" i="30"/>
  <c r="CD95" i="30"/>
  <c r="BR95" i="30"/>
  <c r="BQ95" i="30"/>
  <c r="BP95" i="30"/>
  <c r="BO95" i="30"/>
  <c r="BM95" i="30"/>
  <c r="BK95" i="30"/>
  <c r="BJ95" i="30"/>
  <c r="BI95" i="30"/>
  <c r="BH95" i="30"/>
  <c r="BG95" i="30"/>
  <c r="BE95" i="30"/>
  <c r="BB95" i="30"/>
  <c r="BA95" i="30"/>
  <c r="AZ95" i="30"/>
  <c r="AY95" i="30"/>
  <c r="AW95" i="30"/>
  <c r="EA94" i="30"/>
  <c r="DZ94" i="30"/>
  <c r="DY94" i="30"/>
  <c r="DX94" i="30"/>
  <c r="DW94" i="30"/>
  <c r="DU94" i="30"/>
  <c r="DS94" i="30"/>
  <c r="DR94" i="30"/>
  <c r="DQ94" i="30"/>
  <c r="DP94" i="30"/>
  <c r="DO94" i="30"/>
  <c r="DM94" i="30"/>
  <c r="DK94" i="30"/>
  <c r="DJ94" i="30"/>
  <c r="DI94" i="30"/>
  <c r="DH94" i="30"/>
  <c r="DG94" i="30"/>
  <c r="DE94" i="30"/>
  <c r="CY94" i="30"/>
  <c r="CX94" i="30"/>
  <c r="CW94" i="30"/>
  <c r="CV94" i="30"/>
  <c r="CT94" i="30"/>
  <c r="CQ94" i="30"/>
  <c r="CP94" i="30"/>
  <c r="CO94" i="30"/>
  <c r="CN94" i="30"/>
  <c r="CL94" i="30"/>
  <c r="CI94" i="30"/>
  <c r="CH94" i="30"/>
  <c r="CG94" i="30"/>
  <c r="CF94" i="30"/>
  <c r="CD94" i="30"/>
  <c r="CB94" i="30"/>
  <c r="BS94" i="30"/>
  <c r="BR94" i="30"/>
  <c r="BQ94" i="30"/>
  <c r="BP94" i="30"/>
  <c r="BO94" i="30"/>
  <c r="BM94" i="30"/>
  <c r="BJ94" i="30"/>
  <c r="BI94" i="30"/>
  <c r="BH94" i="30"/>
  <c r="BG94" i="30"/>
  <c r="BE94" i="30"/>
  <c r="BB94" i="30"/>
  <c r="BA94" i="30"/>
  <c r="AZ94" i="30"/>
  <c r="AY94" i="30"/>
  <c r="AW94" i="30"/>
  <c r="EA93" i="30"/>
  <c r="DZ93" i="30"/>
  <c r="DY93" i="30"/>
  <c r="DX93" i="30"/>
  <c r="DW93" i="30"/>
  <c r="DU93" i="30"/>
  <c r="DS93" i="30"/>
  <c r="DR93" i="30"/>
  <c r="DQ93" i="30"/>
  <c r="DP93" i="30"/>
  <c r="DO93" i="30"/>
  <c r="DM93" i="30"/>
  <c r="DL93" i="30"/>
  <c r="DK93" i="30"/>
  <c r="DJ93" i="30"/>
  <c r="DI93" i="30"/>
  <c r="DH93" i="30"/>
  <c r="DG93" i="30"/>
  <c r="DE93" i="30"/>
  <c r="CY93" i="30"/>
  <c r="CX93" i="30"/>
  <c r="CW93" i="30"/>
  <c r="CV93" i="30"/>
  <c r="CT93" i="30"/>
  <c r="CQ93" i="30"/>
  <c r="CP93" i="30"/>
  <c r="CO93" i="30"/>
  <c r="CN93" i="30"/>
  <c r="CL93" i="30"/>
  <c r="CJ93" i="30"/>
  <c r="CI93" i="30"/>
  <c r="CH93" i="30"/>
  <c r="CG93" i="30"/>
  <c r="CF93" i="30"/>
  <c r="CD93" i="30"/>
  <c r="BS93" i="30"/>
  <c r="BR93" i="30"/>
  <c r="BQ93" i="30"/>
  <c r="BP93" i="30"/>
  <c r="BO93" i="30"/>
  <c r="BM93" i="30"/>
  <c r="BK93" i="30"/>
  <c r="BI93" i="30"/>
  <c r="BH93" i="30"/>
  <c r="BG93" i="30"/>
  <c r="BE93" i="30"/>
  <c r="BB93" i="30"/>
  <c r="BA93" i="30"/>
  <c r="AZ93" i="30"/>
  <c r="AY93" i="30"/>
  <c r="AW93" i="30"/>
  <c r="EA92" i="30"/>
  <c r="DZ92" i="30"/>
  <c r="DY92" i="30"/>
  <c r="DX92" i="30"/>
  <c r="DW92" i="30"/>
  <c r="DU92" i="30"/>
  <c r="DT92" i="30"/>
  <c r="DS92" i="30"/>
  <c r="DR92" i="30"/>
  <c r="DQ92" i="30"/>
  <c r="DP92" i="30"/>
  <c r="DO92" i="30"/>
  <c r="DM92" i="30"/>
  <c r="DK92" i="30"/>
  <c r="DJ92" i="30"/>
  <c r="DI92" i="30"/>
  <c r="DH92" i="30"/>
  <c r="DG92" i="30"/>
  <c r="DE92" i="30"/>
  <c r="CW92" i="30"/>
  <c r="CV92" i="30"/>
  <c r="CT92" i="30"/>
  <c r="CQ92" i="30"/>
  <c r="CP92" i="30"/>
  <c r="CO92" i="30"/>
  <c r="CN92" i="30"/>
  <c r="CL92" i="30"/>
  <c r="CJ92" i="30"/>
  <c r="CI92" i="30"/>
  <c r="CH92" i="30"/>
  <c r="CD92" i="30"/>
  <c r="CC92" i="30"/>
  <c r="CB92" i="30"/>
  <c r="BR92" i="30"/>
  <c r="BQ92" i="30"/>
  <c r="BJ92" i="30"/>
  <c r="BI92" i="30"/>
  <c r="BG92" i="30"/>
  <c r="BE92" i="30"/>
  <c r="BC92" i="30"/>
  <c r="BB92" i="30"/>
  <c r="BA92" i="30"/>
  <c r="AY92" i="30"/>
  <c r="EA91" i="30"/>
  <c r="DZ91" i="30"/>
  <c r="DY91" i="30"/>
  <c r="DX91" i="30"/>
  <c r="DW91" i="30"/>
  <c r="DU91" i="30"/>
  <c r="DS91" i="30"/>
  <c r="DR91" i="30"/>
  <c r="DQ91" i="30"/>
  <c r="DP91" i="30"/>
  <c r="DO91" i="30"/>
  <c r="DM91" i="30"/>
  <c r="DK91" i="30"/>
  <c r="DJ91" i="30"/>
  <c r="DI91" i="30"/>
  <c r="DH91" i="30"/>
  <c r="DG91" i="30"/>
  <c r="DE91" i="30"/>
  <c r="CY91" i="30"/>
  <c r="CW91" i="30"/>
  <c r="CV91" i="30"/>
  <c r="CT91" i="30"/>
  <c r="CQ91" i="30"/>
  <c r="CP91" i="30"/>
  <c r="CO91" i="30"/>
  <c r="CN91" i="30"/>
  <c r="CL91" i="30"/>
  <c r="CI91" i="30"/>
  <c r="CF91" i="30"/>
  <c r="CD91" i="30"/>
  <c r="BS91" i="30"/>
  <c r="BR91" i="30"/>
  <c r="BQ91" i="30"/>
  <c r="BP91" i="30"/>
  <c r="BO91" i="30"/>
  <c r="BM91" i="30"/>
  <c r="BI91" i="30"/>
  <c r="BH91" i="30"/>
  <c r="BG91" i="30"/>
  <c r="BB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R90" i="30"/>
  <c r="DQ90" i="30"/>
  <c r="DP90" i="30"/>
  <c r="DO90" i="30"/>
  <c r="DM90" i="30"/>
  <c r="DK90" i="30"/>
  <c r="DJ90" i="30"/>
  <c r="DI90" i="30"/>
  <c r="DH90" i="30"/>
  <c r="DG90" i="30"/>
  <c r="DE90" i="30"/>
  <c r="CV90" i="30"/>
  <c r="CT90" i="30"/>
  <c r="CR90" i="30"/>
  <c r="CQ90" i="30"/>
  <c r="CP90" i="30"/>
  <c r="CO90" i="30"/>
  <c r="CN90" i="30"/>
  <c r="CL90" i="30"/>
  <c r="CJ90" i="30"/>
  <c r="CF90" i="30"/>
  <c r="CD90" i="30"/>
  <c r="BM90" i="30"/>
  <c r="BK90" i="30"/>
  <c r="BJ90" i="30"/>
  <c r="BI90" i="30"/>
  <c r="BH90" i="30"/>
  <c r="BG90" i="30"/>
  <c r="BE90" i="30"/>
  <c r="BA90" i="30"/>
  <c r="AY90" i="30"/>
  <c r="AW90" i="30"/>
  <c r="AV90" i="30"/>
  <c r="BR35" i="30"/>
  <c r="BP35" i="30"/>
  <c r="BO35" i="30"/>
  <c r="BJ35" i="30"/>
  <c r="BH35" i="30"/>
  <c r="BG35" i="30"/>
  <c r="BE35" i="30"/>
  <c r="BB35" i="30"/>
  <c r="AZ35" i="30"/>
  <c r="AY35" i="30"/>
  <c r="AW35" i="30"/>
  <c r="BN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AT97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Y31" i="30"/>
  <c r="DX31" i="30"/>
  <c r="DV31" i="30"/>
  <c r="DU31" i="30"/>
  <c r="DQ31" i="30"/>
  <c r="DP31" i="30"/>
  <c r="DN31" i="30"/>
  <c r="DM31" i="30"/>
  <c r="DI31" i="30"/>
  <c r="DH31" i="30"/>
  <c r="DF31" i="30"/>
  <c r="DE31" i="30"/>
  <c r="EB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O27" i="30"/>
  <c r="BN27" i="30"/>
  <c r="BL27" i="30"/>
  <c r="BG27" i="30"/>
  <c r="BF27" i="30"/>
  <c r="BD27" i="30"/>
  <c r="AY27" i="30"/>
  <c r="AX27" i="30"/>
  <c r="AV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AT90" i="30"/>
  <c r="EB24" i="30"/>
  <c r="EB69" i="30" s="1"/>
  <c r="DX24" i="30"/>
  <c r="DX69" i="30" s="1"/>
  <c r="DW24" i="30"/>
  <c r="DW69" i="30" s="1"/>
  <c r="DP24" i="30"/>
  <c r="DO24" i="30"/>
  <c r="DO69" i="30" s="1"/>
  <c r="DH24" i="30"/>
  <c r="DH69" i="30" s="1"/>
  <c r="DG24" i="30"/>
  <c r="CV24" i="30"/>
  <c r="CV69" i="30" s="1"/>
  <c r="CN24" i="30"/>
  <c r="CN69" i="30" s="1"/>
  <c r="CM24" i="30"/>
  <c r="CM69" i="30" s="1"/>
  <c r="CJ24" i="30"/>
  <c r="CJ69" i="30" s="1"/>
  <c r="CF24" i="30"/>
  <c r="CF69" i="30" s="1"/>
  <c r="CE24" i="30"/>
  <c r="CE69" i="30" s="1"/>
  <c r="BQ24" i="30"/>
  <c r="BI24" i="30"/>
  <c r="BA24" i="30"/>
  <c r="AW24" i="30"/>
  <c r="DZ23" i="30"/>
  <c r="DZ68" i="30" s="1"/>
  <c r="DX23" i="30"/>
  <c r="DX68" i="30" s="1"/>
  <c r="DR23" i="30"/>
  <c r="DR68" i="30" s="1"/>
  <c r="DP23" i="30"/>
  <c r="DP68" i="30" s="1"/>
  <c r="DJ23" i="30"/>
  <c r="DH23" i="30"/>
  <c r="DH68" i="30" s="1"/>
  <c r="CX23" i="30"/>
  <c r="CX68" i="30" s="1"/>
  <c r="CV23" i="30"/>
  <c r="CV68" i="30" s="1"/>
  <c r="CP23" i="30"/>
  <c r="CP68" i="30" s="1"/>
  <c r="CN23" i="30"/>
  <c r="CH23" i="30"/>
  <c r="CH68" i="30" s="1"/>
  <c r="CF23" i="30"/>
  <c r="CF68" i="30" s="1"/>
  <c r="BS23" i="30"/>
  <c r="BQ23" i="30"/>
  <c r="BK23" i="30"/>
  <c r="BI23" i="30"/>
  <c r="BC23" i="30"/>
  <c r="BA23" i="30"/>
  <c r="AT23" i="30"/>
  <c r="EA22" i="30"/>
  <c r="EA67" i="30" s="1"/>
  <c r="DU22" i="30"/>
  <c r="DS22" i="30"/>
  <c r="DS67" i="30" s="1"/>
  <c r="DM22" i="30"/>
  <c r="DM67" i="30" s="1"/>
  <c r="DK22" i="30"/>
  <c r="DK67" i="30" s="1"/>
  <c r="DE22" i="30"/>
  <c r="DE67" i="30" s="1"/>
  <c r="CY22" i="30"/>
  <c r="CS22" i="30"/>
  <c r="CS67" i="30" s="1"/>
  <c r="CQ22" i="30"/>
  <c r="CQ67" i="30" s="1"/>
  <c r="CK22" i="30"/>
  <c r="CK67" i="30" s="1"/>
  <c r="CI22" i="30"/>
  <c r="CI67" i="30" s="1"/>
  <c r="CC22" i="30"/>
  <c r="CC67" i="30" s="1"/>
  <c r="BZ22" i="30"/>
  <c r="BZ55" i="30" s="1"/>
  <c r="BL22" i="30"/>
  <c r="BD22" i="30"/>
  <c r="AV22" i="30"/>
  <c r="AT22" i="30"/>
  <c r="F22" i="30"/>
  <c r="C256" i="33" s="1"/>
  <c r="EA21" i="30"/>
  <c r="EA66" i="30" s="1"/>
  <c r="DS21" i="30"/>
  <c r="DS66" i="30" s="1"/>
  <c r="DO21" i="30"/>
  <c r="DO66" i="30" s="1"/>
  <c r="DK21" i="30"/>
  <c r="DK66" i="30" s="1"/>
  <c r="CY21" i="30"/>
  <c r="CY66" i="30" s="1"/>
  <c r="CW21" i="30"/>
  <c r="CW66" i="30" s="1"/>
  <c r="CQ21" i="30"/>
  <c r="CO21" i="30"/>
  <c r="CO66" i="30" s="1"/>
  <c r="CI21" i="30"/>
  <c r="CI66" i="30" s="1"/>
  <c r="CG21" i="30"/>
  <c r="CG66" i="30" s="1"/>
  <c r="BZ21" i="30"/>
  <c r="BZ54" i="30" s="1"/>
  <c r="BR21" i="30"/>
  <c r="BR77" i="30" s="1"/>
  <c r="BL21" i="30"/>
  <c r="BJ21" i="30"/>
  <c r="BD21" i="30"/>
  <c r="BB21" i="30"/>
  <c r="AV21" i="30"/>
  <c r="F21" i="30"/>
  <c r="C255" i="33" s="1"/>
  <c r="DY20" i="30"/>
  <c r="DW20" i="30"/>
  <c r="DW65" i="30" s="1"/>
  <c r="DQ20" i="30"/>
  <c r="DQ65" i="30" s="1"/>
  <c r="DO20" i="30"/>
  <c r="DI20" i="30"/>
  <c r="DI65" i="30" s="1"/>
  <c r="DG20" i="30"/>
  <c r="DG65" i="30" s="1"/>
  <c r="CW20" i="30"/>
  <c r="CW65" i="30" s="1"/>
  <c r="CU20" i="30"/>
  <c r="CU65" i="30" s="1"/>
  <c r="CO20" i="30"/>
  <c r="CO65" i="30" s="1"/>
  <c r="CM20" i="30"/>
  <c r="CM65" i="30" s="1"/>
  <c r="CG20" i="30"/>
  <c r="CG65" i="30" s="1"/>
  <c r="CE20" i="30"/>
  <c r="CE65" i="30" s="1"/>
  <c r="BR20" i="30"/>
  <c r="BJ20" i="30"/>
  <c r="BB20" i="30"/>
  <c r="BB76" i="30" s="1"/>
  <c r="AT20" i="30"/>
  <c r="F20" i="30"/>
  <c r="C254" i="33" s="1"/>
  <c r="DW19" i="30"/>
  <c r="DW64" i="30" s="1"/>
  <c r="DU19" i="30"/>
  <c r="DO19" i="30"/>
  <c r="DO64" i="30" s="1"/>
  <c r="DM19" i="30"/>
  <c r="DG19" i="30"/>
  <c r="DG64" i="30" s="1"/>
  <c r="DE19" i="30"/>
  <c r="CY19" i="30"/>
  <c r="CY64" i="30" s="1"/>
  <c r="CS19" i="30"/>
  <c r="CQ19" i="30"/>
  <c r="CQ64" i="30" s="1"/>
  <c r="CK19" i="30"/>
  <c r="CI19" i="30"/>
  <c r="CI64" i="30" s="1"/>
  <c r="CC19" i="30"/>
  <c r="BZ19" i="30"/>
  <c r="BZ52" i="30" s="1"/>
  <c r="BL19" i="30"/>
  <c r="BD19" i="30"/>
  <c r="AV19" i="30"/>
  <c r="DZ18" i="30"/>
  <c r="DZ63" i="30" s="1"/>
  <c r="DX18" i="30"/>
  <c r="DX63" i="30" s="1"/>
  <c r="DV18" i="30"/>
  <c r="DV63" i="30" s="1"/>
  <c r="DP18" i="30"/>
  <c r="DP63" i="30" s="1"/>
  <c r="DN18" i="30"/>
  <c r="DN63" i="30" s="1"/>
  <c r="DH18" i="30"/>
  <c r="DH63" i="30" s="1"/>
  <c r="DF18" i="30"/>
  <c r="DF63" i="30" s="1"/>
  <c r="CT18" i="30"/>
  <c r="CT63" i="30" s="1"/>
  <c r="CL18" i="30"/>
  <c r="CL63" i="30" s="1"/>
  <c r="CD18" i="30"/>
  <c r="CD63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X17" i="30"/>
  <c r="DX62" i="30" s="1"/>
  <c r="DV17" i="30"/>
  <c r="DV62" i="30" s="1"/>
  <c r="DR17" i="30"/>
  <c r="DR62" i="30" s="1"/>
  <c r="DP17" i="30"/>
  <c r="DP62" i="30" s="1"/>
  <c r="DN17" i="30"/>
  <c r="DN62" i="30" s="1"/>
  <c r="DJ17" i="30"/>
  <c r="DJ62" i="30" s="1"/>
  <c r="DH17" i="30"/>
  <c r="DH62" i="30" s="1"/>
  <c r="DF17" i="30"/>
  <c r="DF62" i="30" s="1"/>
  <c r="CV17" i="30"/>
  <c r="CT17" i="30"/>
  <c r="CN17" i="30"/>
  <c r="CL17" i="30"/>
  <c r="CF17" i="30"/>
  <c r="CD17" i="30"/>
  <c r="CD62" i="30" s="1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Z16" i="30"/>
  <c r="DZ61" i="30" s="1"/>
  <c r="DX16" i="30"/>
  <c r="DX61" i="30" s="1"/>
  <c r="DR16" i="30"/>
  <c r="DR61" i="30" s="1"/>
  <c r="DP16" i="30"/>
  <c r="DP61" i="30" s="1"/>
  <c r="DJ16" i="30"/>
  <c r="DJ61" i="30" s="1"/>
  <c r="DH16" i="30"/>
  <c r="DH61" i="30" s="1"/>
  <c r="CV16" i="30"/>
  <c r="CT16" i="30"/>
  <c r="CN16" i="30"/>
  <c r="CL16" i="30"/>
  <c r="CF16" i="30"/>
  <c r="CF61" i="30" s="1"/>
  <c r="CF107" i="30" s="1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X15" i="30"/>
  <c r="DX60" i="30" s="1"/>
  <c r="DV15" i="30"/>
  <c r="DV60" i="30" s="1"/>
  <c r="DR15" i="30"/>
  <c r="DR60" i="30" s="1"/>
  <c r="DP15" i="30"/>
  <c r="DP60" i="30" s="1"/>
  <c r="DN15" i="30"/>
  <c r="DN60" i="30" s="1"/>
  <c r="DJ15" i="30"/>
  <c r="DJ60" i="30" s="1"/>
  <c r="DH15" i="30"/>
  <c r="DH60" i="30" s="1"/>
  <c r="DF15" i="30"/>
  <c r="DF60" i="30" s="1"/>
  <c r="CX15" i="30"/>
  <c r="CX60" i="30" s="1"/>
  <c r="CV15" i="30"/>
  <c r="CT15" i="30"/>
  <c r="CP15" i="30"/>
  <c r="CN15" i="30"/>
  <c r="CL15" i="30"/>
  <c r="CH15" i="30"/>
  <c r="CF15" i="30"/>
  <c r="CF60" i="30" s="1"/>
  <c r="CD15" i="30"/>
  <c r="CD60" i="30" s="1"/>
  <c r="BK15" i="30"/>
  <c r="BI15" i="30"/>
  <c r="BC15" i="30"/>
  <c r="BA15" i="30"/>
  <c r="AT15" i="30"/>
  <c r="EA24" i="30"/>
  <c r="EA69" i="30" s="1"/>
  <c r="DZ24" i="30"/>
  <c r="DZ69" i="30" s="1"/>
  <c r="DY24" i="30"/>
  <c r="DY69" i="30" s="1"/>
  <c r="DU24" i="30"/>
  <c r="DU69" i="30" s="1"/>
  <c r="DS24" i="30"/>
  <c r="DS69" i="30" s="1"/>
  <c r="DR24" i="30"/>
  <c r="DR69" i="30" s="1"/>
  <c r="DQ24" i="30"/>
  <c r="DQ69" i="30" s="1"/>
  <c r="DM24" i="30"/>
  <c r="DM69" i="30" s="1"/>
  <c r="DK24" i="30"/>
  <c r="DK69" i="30" s="1"/>
  <c r="DJ24" i="30"/>
  <c r="DJ69" i="30" s="1"/>
  <c r="DI24" i="30"/>
  <c r="DI69" i="30" s="1"/>
  <c r="DE24" i="30"/>
  <c r="DE69" i="30" s="1"/>
  <c r="CW24" i="30"/>
  <c r="CW69" i="30" s="1"/>
  <c r="CS24" i="30"/>
  <c r="CS69" i="30" s="1"/>
  <c r="CO24" i="30"/>
  <c r="CO69" i="30" s="1"/>
  <c r="CG24" i="30"/>
  <c r="CG69" i="30" s="1"/>
  <c r="CD24" i="30"/>
  <c r="CD69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A23" i="30"/>
  <c r="EA68" i="30" s="1"/>
  <c r="DY23" i="30"/>
  <c r="DY68" i="30" s="1"/>
  <c r="DV23" i="30"/>
  <c r="DV68" i="30" s="1"/>
  <c r="DT23" i="30"/>
  <c r="DT68" i="30" s="1"/>
  <c r="DS23" i="30"/>
  <c r="DS68" i="30" s="1"/>
  <c r="DQ23" i="30"/>
  <c r="DQ68" i="30" s="1"/>
  <c r="DO23" i="30"/>
  <c r="DO68" i="30" s="1"/>
  <c r="DN23" i="30"/>
  <c r="DN68" i="30" s="1"/>
  <c r="DM23" i="30"/>
  <c r="DM68" i="30" s="1"/>
  <c r="DL23" i="30"/>
  <c r="DL68" i="30" s="1"/>
  <c r="DK23" i="30"/>
  <c r="DK68" i="30" s="1"/>
  <c r="DI23" i="30"/>
  <c r="DI68" i="30" s="1"/>
  <c r="DF23" i="30"/>
  <c r="DF68" i="30" s="1"/>
  <c r="DC23" i="30"/>
  <c r="DC56" i="30" s="1"/>
  <c r="CW23" i="30"/>
  <c r="CW68" i="30" s="1"/>
  <c r="CU23" i="30"/>
  <c r="CU68" i="30" s="1"/>
  <c r="CT23" i="30"/>
  <c r="CT68" i="30" s="1"/>
  <c r="CR23" i="30"/>
  <c r="CR68" i="30" s="1"/>
  <c r="CO23" i="30"/>
  <c r="CO68" i="30" s="1"/>
  <c r="CM23" i="30"/>
  <c r="CM68" i="30" s="1"/>
  <c r="CL23" i="30"/>
  <c r="CL68" i="30" s="1"/>
  <c r="CJ23" i="30"/>
  <c r="CJ68" i="30" s="1"/>
  <c r="CG23" i="30"/>
  <c r="CG68" i="30" s="1"/>
  <c r="CE23" i="30"/>
  <c r="CE68" i="30" s="1"/>
  <c r="CD23" i="30"/>
  <c r="CD68" i="30" s="1"/>
  <c r="CB23" i="30"/>
  <c r="CB68" i="30" s="1"/>
  <c r="BR23" i="30"/>
  <c r="BO23" i="30"/>
  <c r="BL23" i="30"/>
  <c r="BJ23" i="30"/>
  <c r="BG23" i="30"/>
  <c r="BE23" i="30"/>
  <c r="BD23" i="30"/>
  <c r="BB23" i="30"/>
  <c r="AY23" i="30"/>
  <c r="AV23" i="30"/>
  <c r="AT12" i="30"/>
  <c r="EB22" i="30"/>
  <c r="EB67" i="30" s="1"/>
  <c r="DZ22" i="30"/>
  <c r="DZ67" i="30" s="1"/>
  <c r="DY22" i="30"/>
  <c r="DY67" i="30" s="1"/>
  <c r="DW22" i="30"/>
  <c r="DW67" i="30" s="1"/>
  <c r="DT22" i="30"/>
  <c r="DT67" i="30" s="1"/>
  <c r="DR22" i="30"/>
  <c r="DR67" i="30" s="1"/>
  <c r="DQ22" i="30"/>
  <c r="DQ67" i="30" s="1"/>
  <c r="DO22" i="30"/>
  <c r="DO67" i="30" s="1"/>
  <c r="DN22" i="30"/>
  <c r="DN67" i="30" s="1"/>
  <c r="DL22" i="30"/>
  <c r="DL67" i="30" s="1"/>
  <c r="DJ22" i="30"/>
  <c r="DJ67" i="30" s="1"/>
  <c r="DI22" i="30"/>
  <c r="DI67" i="30" s="1"/>
  <c r="DG22" i="30"/>
  <c r="DG67" i="30" s="1"/>
  <c r="DC22" i="30"/>
  <c r="DC55" i="30" s="1"/>
  <c r="CX22" i="30"/>
  <c r="CX67" i="30" s="1"/>
  <c r="CW22" i="30"/>
  <c r="CW67" i="30" s="1"/>
  <c r="CV22" i="30"/>
  <c r="CV67" i="30" s="1"/>
  <c r="CU22" i="30"/>
  <c r="CU67" i="30" s="1"/>
  <c r="CP22" i="30"/>
  <c r="CP67" i="30" s="1"/>
  <c r="CO22" i="30"/>
  <c r="CO67" i="30" s="1"/>
  <c r="CN22" i="30"/>
  <c r="CN67" i="30" s="1"/>
  <c r="CM22" i="30"/>
  <c r="CM67" i="30" s="1"/>
  <c r="CJ22" i="30"/>
  <c r="CJ67" i="30" s="1"/>
  <c r="CH22" i="30"/>
  <c r="CH67" i="30" s="1"/>
  <c r="CG22" i="30"/>
  <c r="CG67" i="30" s="1"/>
  <c r="CF22" i="30"/>
  <c r="CF67" i="30" s="1"/>
  <c r="CE22" i="30"/>
  <c r="CE67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DZ21" i="30"/>
  <c r="DZ66" i="30" s="1"/>
  <c r="DX21" i="30"/>
  <c r="DX66" i="30" s="1"/>
  <c r="DV21" i="30"/>
  <c r="DV66" i="30" s="1"/>
  <c r="DU21" i="30"/>
  <c r="DU66" i="30" s="1"/>
  <c r="DT21" i="30"/>
  <c r="DT66" i="30" s="1"/>
  <c r="DR21" i="30"/>
  <c r="DR66" i="30" s="1"/>
  <c r="DP21" i="30"/>
  <c r="DP66" i="30" s="1"/>
  <c r="DN21" i="30"/>
  <c r="DN66" i="30" s="1"/>
  <c r="DM21" i="30"/>
  <c r="DM66" i="30" s="1"/>
  <c r="DL21" i="30"/>
  <c r="DL66" i="30" s="1"/>
  <c r="DJ21" i="30"/>
  <c r="DJ66" i="30" s="1"/>
  <c r="DH21" i="30"/>
  <c r="DH66" i="30" s="1"/>
  <c r="DF21" i="30"/>
  <c r="DF66" i="30" s="1"/>
  <c r="DE21" i="30"/>
  <c r="DE66" i="30" s="1"/>
  <c r="DC43" i="30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32" i="30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A20" i="30"/>
  <c r="EA65" i="30" s="1"/>
  <c r="DX20" i="30"/>
  <c r="DX65" i="30" s="1"/>
  <c r="DV20" i="30"/>
  <c r="DV65" i="30" s="1"/>
  <c r="DU20" i="30"/>
  <c r="DU65" i="30" s="1"/>
  <c r="DT20" i="30"/>
  <c r="DT65" i="30" s="1"/>
  <c r="DS20" i="30"/>
  <c r="DS65" i="30" s="1"/>
  <c r="DN20" i="30"/>
  <c r="DN65" i="30" s="1"/>
  <c r="DM20" i="30"/>
  <c r="DM65" i="30" s="1"/>
  <c r="DL20" i="30"/>
  <c r="DL65" i="30" s="1"/>
  <c r="DK20" i="30"/>
  <c r="DK65" i="30" s="1"/>
  <c r="DF20" i="30"/>
  <c r="DF65" i="30" s="1"/>
  <c r="DE20" i="30"/>
  <c r="DE65" i="30" s="1"/>
  <c r="CY20" i="30"/>
  <c r="CY65" i="30" s="1"/>
  <c r="CX20" i="30"/>
  <c r="CX65" i="30" s="1"/>
  <c r="CS20" i="30"/>
  <c r="CS65" i="30" s="1"/>
  <c r="CR20" i="30"/>
  <c r="CR65" i="30" s="1"/>
  <c r="CQ20" i="30"/>
  <c r="CQ65" i="30" s="1"/>
  <c r="CP20" i="30"/>
  <c r="CP65" i="30" s="1"/>
  <c r="CK20" i="30"/>
  <c r="CK65" i="30" s="1"/>
  <c r="CJ20" i="30"/>
  <c r="CJ65" i="30" s="1"/>
  <c r="CI20" i="30"/>
  <c r="CI65" i="30" s="1"/>
  <c r="CH20" i="30"/>
  <c r="CH65" i="30" s="1"/>
  <c r="CC20" i="30"/>
  <c r="CC65" i="30" s="1"/>
  <c r="CB20" i="30"/>
  <c r="CB65" i="30" s="1"/>
  <c r="BZ42" i="30"/>
  <c r="BS20" i="30"/>
  <c r="BQ20" i="30"/>
  <c r="BO20" i="30"/>
  <c r="BN20" i="30"/>
  <c r="BM20" i="30"/>
  <c r="BL20" i="30"/>
  <c r="BK20" i="30"/>
  <c r="BI20" i="30"/>
  <c r="BG20" i="30"/>
  <c r="BE20" i="30"/>
  <c r="BD20" i="30"/>
  <c r="BC20" i="30"/>
  <c r="BA20" i="30"/>
  <c r="AY20" i="30"/>
  <c r="AW20" i="30"/>
  <c r="AV20" i="30"/>
  <c r="AT9" i="30"/>
  <c r="EB19" i="30"/>
  <c r="EB64" i="30" s="1"/>
  <c r="DZ19" i="30"/>
  <c r="DZ64" i="30" s="1"/>
  <c r="DX19" i="30"/>
  <c r="DX64" i="30" s="1"/>
  <c r="DV19" i="30"/>
  <c r="DV64" i="30" s="1"/>
  <c r="DT19" i="30"/>
  <c r="DT64" i="30" s="1"/>
  <c r="DR19" i="30"/>
  <c r="DR64" i="30" s="1"/>
  <c r="DP19" i="30"/>
  <c r="DP64" i="30" s="1"/>
  <c r="DN19" i="30"/>
  <c r="DN64" i="30" s="1"/>
  <c r="DL19" i="30"/>
  <c r="DL64" i="30" s="1"/>
  <c r="DJ19" i="30"/>
  <c r="DJ64" i="30" s="1"/>
  <c r="DH19" i="30"/>
  <c r="DH64" i="30" s="1"/>
  <c r="DF19" i="30"/>
  <c r="DF64" i="30" s="1"/>
  <c r="DC30" i="30"/>
  <c r="DC94" i="30" s="1"/>
  <c r="CX19" i="30"/>
  <c r="CX64" i="30" s="1"/>
  <c r="CV19" i="30"/>
  <c r="CV64" i="30" s="1"/>
  <c r="CT19" i="30"/>
  <c r="CT64" i="30" s="1"/>
  <c r="CR19" i="30"/>
  <c r="CR64" i="30" s="1"/>
  <c r="CP19" i="30"/>
  <c r="CP64" i="30" s="1"/>
  <c r="CN19" i="30"/>
  <c r="CN64" i="30" s="1"/>
  <c r="CL19" i="30"/>
  <c r="CL64" i="30" s="1"/>
  <c r="CJ19" i="30"/>
  <c r="CJ64" i="30" s="1"/>
  <c r="CH19" i="30"/>
  <c r="CH64" i="30" s="1"/>
  <c r="CF19" i="30"/>
  <c r="CF64" i="30" s="1"/>
  <c r="CD19" i="30"/>
  <c r="CD64" i="30" s="1"/>
  <c r="CB19" i="30"/>
  <c r="CB64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DY18" i="30"/>
  <c r="DY63" i="30" s="1"/>
  <c r="DW18" i="30"/>
  <c r="DW63" i="30" s="1"/>
  <c r="DU18" i="30"/>
  <c r="DU63" i="30" s="1"/>
  <c r="DS18" i="30"/>
  <c r="DS63" i="30" s="1"/>
  <c r="DQ18" i="30"/>
  <c r="DQ63" i="30" s="1"/>
  <c r="DO18" i="30"/>
  <c r="DO63" i="30" s="1"/>
  <c r="DM18" i="30"/>
  <c r="DM63" i="30" s="1"/>
  <c r="DL18" i="30"/>
  <c r="DL63" i="30" s="1"/>
  <c r="DK18" i="30"/>
  <c r="DK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R18" i="30"/>
  <c r="CR63" i="30" s="1"/>
  <c r="CQ18" i="30"/>
  <c r="CQ63" i="30" s="1"/>
  <c r="CO18" i="30"/>
  <c r="CO63" i="30" s="1"/>
  <c r="CM18" i="30"/>
  <c r="CM63" i="30" s="1"/>
  <c r="CK18" i="30"/>
  <c r="CK63" i="30" s="1"/>
  <c r="CJ18" i="30"/>
  <c r="CJ63" i="30" s="1"/>
  <c r="CI18" i="30"/>
  <c r="CI63" i="30" s="1"/>
  <c r="CG18" i="30"/>
  <c r="CG63" i="30" s="1"/>
  <c r="CE18" i="30"/>
  <c r="CE63" i="30" s="1"/>
  <c r="CC18" i="30"/>
  <c r="CC63" i="30" s="1"/>
  <c r="CB18" i="30"/>
  <c r="CB63" i="30" s="1"/>
  <c r="BZ29" i="30"/>
  <c r="BZ93" i="30" s="1"/>
  <c r="BR18" i="30"/>
  <c r="BM18" i="30"/>
  <c r="BL18" i="30"/>
  <c r="BJ18" i="30"/>
  <c r="BE18" i="30"/>
  <c r="BD18" i="30"/>
  <c r="BB18" i="30"/>
  <c r="AW18" i="30"/>
  <c r="AV18" i="30"/>
  <c r="EB17" i="30"/>
  <c r="EB62" i="30" s="1"/>
  <c r="EA17" i="30"/>
  <c r="EA62" i="30" s="1"/>
  <c r="DY17" i="30"/>
  <c r="DY62" i="30" s="1"/>
  <c r="DW17" i="30"/>
  <c r="DW62" i="30" s="1"/>
  <c r="DU17" i="30"/>
  <c r="DU62" i="30" s="1"/>
  <c r="DT17" i="30"/>
  <c r="DT62" i="30" s="1"/>
  <c r="DQ17" i="30"/>
  <c r="DQ62" i="30" s="1"/>
  <c r="DO17" i="30"/>
  <c r="DO62" i="30" s="1"/>
  <c r="DL17" i="30"/>
  <c r="DL62" i="30" s="1"/>
  <c r="DI17" i="30"/>
  <c r="DI62" i="30" s="1"/>
  <c r="DG17" i="30"/>
  <c r="DG62" i="30" s="1"/>
  <c r="DC17" i="30"/>
  <c r="DC50" i="30" s="1"/>
  <c r="CU17" i="30"/>
  <c r="CS17" i="30"/>
  <c r="CR17" i="30"/>
  <c r="CM17" i="30"/>
  <c r="CK17" i="30"/>
  <c r="CJ17" i="30"/>
  <c r="CE17" i="30"/>
  <c r="CE62" i="30" s="1"/>
  <c r="CC17" i="30"/>
  <c r="CB17" i="30"/>
  <c r="CB62" i="30" s="1"/>
  <c r="BR17" i="30"/>
  <c r="BM17" i="30"/>
  <c r="BL17" i="30"/>
  <c r="BJ17" i="30"/>
  <c r="BE17" i="30"/>
  <c r="BD17" i="30"/>
  <c r="BB17" i="30"/>
  <c r="AW17" i="30"/>
  <c r="AV17" i="30"/>
  <c r="EA16" i="30"/>
  <c r="EA61" i="30" s="1"/>
  <c r="DY16" i="30"/>
  <c r="DY61" i="30" s="1"/>
  <c r="DW16" i="30"/>
  <c r="DW61" i="30" s="1"/>
  <c r="DU16" i="30"/>
  <c r="DU61" i="30" s="1"/>
  <c r="DS16" i="30"/>
  <c r="DS61" i="30" s="1"/>
  <c r="DQ16" i="30"/>
  <c r="DQ61" i="30" s="1"/>
  <c r="DO16" i="30"/>
  <c r="DO61" i="30" s="1"/>
  <c r="DM16" i="30"/>
  <c r="DM61" i="30" s="1"/>
  <c r="DL16" i="30"/>
  <c r="DL61" i="30" s="1"/>
  <c r="DK16" i="30"/>
  <c r="DK61" i="30" s="1"/>
  <c r="DI16" i="30"/>
  <c r="DI61" i="30" s="1"/>
  <c r="DG16" i="30"/>
  <c r="DG61" i="30" s="1"/>
  <c r="DE16" i="30"/>
  <c r="DE61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J16" i="30"/>
  <c r="BH16" i="30"/>
  <c r="BE16" i="30"/>
  <c r="BB16" i="30"/>
  <c r="AZ16" i="30"/>
  <c r="AW16" i="30"/>
  <c r="AT5" i="30"/>
  <c r="EB15" i="30"/>
  <c r="EB60" i="30" s="1"/>
  <c r="EA15" i="30"/>
  <c r="EA60" i="30" s="1"/>
  <c r="DY15" i="30"/>
  <c r="DY60" i="30" s="1"/>
  <c r="DT15" i="30"/>
  <c r="DT60" i="30" s="1"/>
  <c r="DS15" i="30"/>
  <c r="DS60" i="30" s="1"/>
  <c r="DQ15" i="30"/>
  <c r="DQ60" i="30" s="1"/>
  <c r="DL15" i="30"/>
  <c r="DL60" i="30" s="1"/>
  <c r="DK15" i="30"/>
  <c r="DK60" i="30" s="1"/>
  <c r="DI15" i="30"/>
  <c r="DI60" i="30" s="1"/>
  <c r="DG15" i="30"/>
  <c r="DG60" i="30" s="1"/>
  <c r="DC60" i="30"/>
  <c r="CU15" i="30"/>
  <c r="CM15" i="30"/>
  <c r="CE15" i="30"/>
  <c r="CE60" i="30" s="1"/>
  <c r="CB15" i="30"/>
  <c r="CB60" i="30" s="1"/>
  <c r="BP15" i="30"/>
  <c r="BN15" i="30"/>
  <c r="BM15" i="30"/>
  <c r="BL15" i="30"/>
  <c r="BH15" i="30"/>
  <c r="BF15" i="30"/>
  <c r="BE15" i="30"/>
  <c r="BD15" i="30"/>
  <c r="AX15" i="30"/>
  <c r="AW15" i="30"/>
  <c r="AV15" i="30"/>
  <c r="DD2" i="30"/>
  <c r="DD120" i="33" s="1"/>
  <c r="CA2" i="30"/>
  <c r="CA120" i="33" s="1"/>
  <c r="AZ4" i="29"/>
  <c r="AY4" i="29"/>
  <c r="AX4" i="29"/>
  <c r="AW4" i="29"/>
  <c r="BD4" i="29" s="1"/>
  <c r="BE4" i="29" s="1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R47" i="29" s="1"/>
  <c r="Q166" i="29"/>
  <c r="P166" i="29"/>
  <c r="O166" i="29"/>
  <c r="N166" i="29"/>
  <c r="M166" i="29"/>
  <c r="L166" i="29"/>
  <c r="K166" i="29"/>
  <c r="J166" i="29"/>
  <c r="J46" i="29" s="1"/>
  <c r="I166" i="29"/>
  <c r="I47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G157" i="29"/>
  <c r="E157" i="29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J123" i="29"/>
  <c r="J26" i="29" s="1"/>
  <c r="I123" i="29"/>
  <c r="H123" i="29"/>
  <c r="G123" i="29"/>
  <c r="F123" i="29"/>
  <c r="E123" i="29"/>
  <c r="D123" i="29"/>
  <c r="C123" i="29"/>
  <c r="AA118" i="29"/>
  <c r="AA117" i="29"/>
  <c r="T117" i="29" s="1"/>
  <c r="U117" i="29"/>
  <c r="O117" i="29"/>
  <c r="K117" i="29"/>
  <c r="AA116" i="29"/>
  <c r="T116" i="29" s="1"/>
  <c r="E116" i="29"/>
  <c r="AA115" i="29"/>
  <c r="X115" i="29" s="1"/>
  <c r="AA114" i="29"/>
  <c r="S114" i="29" s="1"/>
  <c r="AA113" i="29"/>
  <c r="T113" i="29" s="1"/>
  <c r="C113" i="29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S3" i="29" s="1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U75" i="29"/>
  <c r="S75" i="29"/>
  <c r="Q75" i="29"/>
  <c r="O75" i="29"/>
  <c r="M75" i="29"/>
  <c r="I75" i="29"/>
  <c r="G75" i="29"/>
  <c r="F75" i="29"/>
  <c r="E75" i="29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V46" i="29"/>
  <c r="K46" i="29"/>
  <c r="C40" i="29"/>
  <c r="C27" i="29" s="1"/>
  <c r="K25" i="29"/>
  <c r="C25" i="29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W33" i="28" s="1"/>
  <c r="U32" i="28"/>
  <c r="T32" i="28"/>
  <c r="U31" i="28"/>
  <c r="T31" i="28"/>
  <c r="Z31" i="28" s="1"/>
  <c r="U30" i="28"/>
  <c r="T30" i="28"/>
  <c r="U29" i="28"/>
  <c r="T29" i="28"/>
  <c r="Z29" i="28" s="1"/>
  <c r="U28" i="28"/>
  <c r="T28" i="28"/>
  <c r="AB28" i="28" s="1"/>
  <c r="U27" i="28"/>
  <c r="T27" i="28"/>
  <c r="AB27" i="28" s="1"/>
  <c r="U26" i="28"/>
  <c r="T26" i="28"/>
  <c r="AC26" i="28" s="1"/>
  <c r="U25" i="28"/>
  <c r="T25" i="28"/>
  <c r="AA25" i="28" s="1"/>
  <c r="U24" i="28"/>
  <c r="T24" i="28"/>
  <c r="K71" i="28"/>
  <c r="C39" i="33" s="1"/>
  <c r="D39" i="33" s="1"/>
  <c r="K72" i="28"/>
  <c r="C40" i="33" s="1"/>
  <c r="D40" i="33" s="1"/>
  <c r="K11" i="28"/>
  <c r="K10" i="28"/>
  <c r="C9" i="33" s="1"/>
  <c r="D9" i="33" s="1"/>
  <c r="D225" i="33" l="1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AB170" i="28" s="1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AA170" i="31" s="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8" i="29" s="1"/>
  <c r="S20" i="29"/>
  <c r="AB171" i="28"/>
  <c r="AA171" i="28"/>
  <c r="AB171" i="31"/>
  <c r="AA171" i="31"/>
  <c r="AC171" i="31"/>
  <c r="K113" i="31"/>
  <c r="K111" i="31"/>
  <c r="K110" i="31"/>
  <c r="CC91" i="30"/>
  <c r="CK91" i="30"/>
  <c r="CE91" i="30"/>
  <c r="CE92" i="30"/>
  <c r="CW90" i="30"/>
  <c r="CU90" i="30"/>
  <c r="CG15" i="30"/>
  <c r="CG60" i="30" s="1"/>
  <c r="Q71" i="29"/>
  <c r="P71" i="29"/>
  <c r="BK92" i="30"/>
  <c r="BS92" i="30"/>
  <c r="AV92" i="30"/>
  <c r="BD92" i="30"/>
  <c r="BL92" i="30"/>
  <c r="BC90" i="30"/>
  <c r="AX90" i="30"/>
  <c r="G71" i="29"/>
  <c r="P76" i="29"/>
  <c r="V28" i="31"/>
  <c r="Z47" i="29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J124" i="31"/>
  <c r="DW77" i="30"/>
  <c r="DW66" i="30"/>
  <c r="C182" i="33"/>
  <c r="D182" i="33" s="1"/>
  <c r="AJ215" i="33" s="1"/>
  <c r="X271" i="31"/>
  <c r="AC176" i="28"/>
  <c r="AA176" i="28"/>
  <c r="W176" i="28"/>
  <c r="AB176" i="28"/>
  <c r="I71" i="29"/>
  <c r="R75" i="29"/>
  <c r="Q76" i="29"/>
  <c r="W113" i="29"/>
  <c r="F116" i="29"/>
  <c r="Y116" i="29"/>
  <c r="F156" i="29"/>
  <c r="I46" i="29"/>
  <c r="Q47" i="29"/>
  <c r="Y47" i="29"/>
  <c r="CC62" i="30"/>
  <c r="DE75" i="30"/>
  <c r="DE64" i="30"/>
  <c r="BJ29" i="30"/>
  <c r="DO33" i="30"/>
  <c r="CH91" i="30"/>
  <c r="AC172" i="31"/>
  <c r="AB172" i="31"/>
  <c r="AA172" i="31"/>
  <c r="W172" i="31"/>
  <c r="AB176" i="31"/>
  <c r="AA176" i="31"/>
  <c r="AJ176" i="31"/>
  <c r="AC176" i="31"/>
  <c r="AC180" i="31"/>
  <c r="AA180" i="31"/>
  <c r="AB180" i="31"/>
  <c r="AB184" i="31"/>
  <c r="U184" i="31"/>
  <c r="AC184" i="31"/>
  <c r="AC196" i="31"/>
  <c r="AA196" i="31"/>
  <c r="AB196" i="31"/>
  <c r="W196" i="31"/>
  <c r="AB200" i="31"/>
  <c r="AA200" i="31"/>
  <c r="AF200" i="31"/>
  <c r="AC200" i="31"/>
  <c r="AC204" i="31"/>
  <c r="AA204" i="31"/>
  <c r="AB204" i="31"/>
  <c r="C187" i="33"/>
  <c r="D187" i="33" s="1"/>
  <c r="AJ218" i="33" s="1"/>
  <c r="F16" i="30"/>
  <c r="AK191" i="33" s="1"/>
  <c r="AO191" i="33" s="1"/>
  <c r="AC184" i="28"/>
  <c r="AG184" i="28"/>
  <c r="AA184" i="28"/>
  <c r="AB184" i="28"/>
  <c r="AA204" i="28"/>
  <c r="AC204" i="28"/>
  <c r="AB204" i="28"/>
  <c r="CC75" i="30"/>
  <c r="CC64" i="30"/>
  <c r="AB177" i="28"/>
  <c r="AA177" i="28"/>
  <c r="AC177" i="28"/>
  <c r="AB193" i="28"/>
  <c r="AA193" i="28"/>
  <c r="AC193" i="28"/>
  <c r="BP29" i="30"/>
  <c r="DR33" i="30"/>
  <c r="AX92" i="30"/>
  <c r="BF92" i="30"/>
  <c r="BN92" i="30"/>
  <c r="CC90" i="30"/>
  <c r="AA180" i="28"/>
  <c r="AF180" i="28"/>
  <c r="AC180" i="28"/>
  <c r="AB180" i="28"/>
  <c r="AC200" i="28"/>
  <c r="AB200" i="28"/>
  <c r="AA200" i="28"/>
  <c r="AB185" i="28"/>
  <c r="AA185" i="28"/>
  <c r="AC185" i="28"/>
  <c r="AJ185" i="28"/>
  <c r="K116" i="29"/>
  <c r="N156" i="29"/>
  <c r="AT6" i="30"/>
  <c r="CG17" i="30"/>
  <c r="CX16" i="30"/>
  <c r="CX61" i="30" s="1"/>
  <c r="CX107" i="30" s="1"/>
  <c r="AT17" i="30"/>
  <c r="CK75" i="30"/>
  <c r="CK64" i="30"/>
  <c r="DM75" i="30"/>
  <c r="DM64" i="30"/>
  <c r="CQ77" i="30"/>
  <c r="CQ66" i="30"/>
  <c r="BR29" i="30"/>
  <c r="DU33" i="30"/>
  <c r="AZ90" i="30"/>
  <c r="AC173" i="31"/>
  <c r="AB173" i="31"/>
  <c r="AA173" i="31"/>
  <c r="AI173" i="31"/>
  <c r="U177" i="31"/>
  <c r="AA177" i="31"/>
  <c r="AC177" i="31"/>
  <c r="AB177" i="31"/>
  <c r="AC181" i="31"/>
  <c r="AB181" i="31"/>
  <c r="AA181" i="31"/>
  <c r="AJ181" i="31"/>
  <c r="AA185" i="31"/>
  <c r="AC185" i="31"/>
  <c r="AB193" i="31"/>
  <c r="V193" i="31"/>
  <c r="AC193" i="31"/>
  <c r="AC197" i="31"/>
  <c r="AA197" i="31"/>
  <c r="AB197" i="31"/>
  <c r="AJ197" i="31"/>
  <c r="AB201" i="31"/>
  <c r="AJ201" i="31"/>
  <c r="AA201" i="31"/>
  <c r="AC205" i="31"/>
  <c r="AA205" i="31"/>
  <c r="AB205" i="31"/>
  <c r="AI143" i="31"/>
  <c r="AI137" i="31"/>
  <c r="AI131" i="31"/>
  <c r="AI128" i="31"/>
  <c r="AI140" i="31"/>
  <c r="AI146" i="31"/>
  <c r="AF172" i="28"/>
  <c r="AC172" i="28"/>
  <c r="AB172" i="28"/>
  <c r="AC196" i="28"/>
  <c r="AB196" i="28"/>
  <c r="AB181" i="28"/>
  <c r="AC181" i="28"/>
  <c r="AA197" i="28"/>
  <c r="AB197" i="28"/>
  <c r="AC197" i="28"/>
  <c r="G116" i="29"/>
  <c r="CY78" i="30"/>
  <c r="CY67" i="30"/>
  <c r="CN79" i="30"/>
  <c r="CN68" i="30"/>
  <c r="CY90" i="30"/>
  <c r="AC174" i="28"/>
  <c r="AB174" i="28"/>
  <c r="AB178" i="28"/>
  <c r="AA178" i="28"/>
  <c r="AC182" i="28"/>
  <c r="AB182" i="28"/>
  <c r="V194" i="28"/>
  <c r="AB194" i="28"/>
  <c r="AA194" i="28"/>
  <c r="AC198" i="28"/>
  <c r="AB198" i="28"/>
  <c r="AJ198" i="28"/>
  <c r="AG202" i="28"/>
  <c r="AB202" i="28"/>
  <c r="AA202" i="28"/>
  <c r="AC206" i="28"/>
  <c r="AB206" i="28"/>
  <c r="AJ206" i="28"/>
  <c r="M110" i="29"/>
  <c r="S115" i="29"/>
  <c r="M116" i="29"/>
  <c r="S156" i="29"/>
  <c r="C160" i="29"/>
  <c r="DO76" i="30"/>
  <c r="DO65" i="30"/>
  <c r="DP80" i="30"/>
  <c r="DP69" i="30"/>
  <c r="DE33" i="30"/>
  <c r="DW33" i="30"/>
  <c r="L114" i="31"/>
  <c r="DG80" i="30"/>
  <c r="DG69" i="30"/>
  <c r="AA173" i="28"/>
  <c r="AC173" i="28"/>
  <c r="AB173" i="28"/>
  <c r="AJ173" i="28"/>
  <c r="AB201" i="28"/>
  <c r="AA201" i="28"/>
  <c r="AI201" i="28"/>
  <c r="AC201" i="28"/>
  <c r="CI15" i="30"/>
  <c r="J75" i="29"/>
  <c r="E76" i="29"/>
  <c r="T71" i="29"/>
  <c r="Y115" i="29"/>
  <c r="N116" i="29"/>
  <c r="C154" i="29"/>
  <c r="U156" i="29"/>
  <c r="M160" i="29"/>
  <c r="DU75" i="30"/>
  <c r="DU64" i="30"/>
  <c r="DG33" i="30"/>
  <c r="DZ33" i="30"/>
  <c r="U174" i="31"/>
  <c r="AB174" i="31"/>
  <c r="AA174" i="31"/>
  <c r="AC174" i="31"/>
  <c r="AC178" i="31"/>
  <c r="AA178" i="31"/>
  <c r="AG178" i="31"/>
  <c r="AB182" i="31"/>
  <c r="AC182" i="31"/>
  <c r="AA182" i="31"/>
  <c r="AA194" i="31"/>
  <c r="AC194" i="31"/>
  <c r="AB194" i="31"/>
  <c r="U194" i="31"/>
  <c r="AC198" i="31"/>
  <c r="AA198" i="31"/>
  <c r="AA202" i="31"/>
  <c r="AC202" i="31"/>
  <c r="AB202" i="31"/>
  <c r="AF202" i="31"/>
  <c r="AC206" i="31"/>
  <c r="AI206" i="31"/>
  <c r="AA206" i="31"/>
  <c r="AB206" i="31"/>
  <c r="U171" i="28"/>
  <c r="AC183" i="28"/>
  <c r="V183" i="28"/>
  <c r="AB183" i="28"/>
  <c r="AA183" i="28"/>
  <c r="AJ195" i="28"/>
  <c r="AC195" i="28"/>
  <c r="AB195" i="28"/>
  <c r="AA195" i="28"/>
  <c r="AC203" i="28"/>
  <c r="AB203" i="28"/>
  <c r="AA203" i="28"/>
  <c r="AC207" i="28"/>
  <c r="V207" i="28"/>
  <c r="AB207" i="28"/>
  <c r="AA207" i="28"/>
  <c r="I76" i="29"/>
  <c r="O116" i="29"/>
  <c r="O160" i="29"/>
  <c r="CS75" i="30"/>
  <c r="CS64" i="30"/>
  <c r="AZ29" i="30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205" i="28"/>
  <c r="AB205" i="28"/>
  <c r="AC175" i="28"/>
  <c r="AB175" i="28"/>
  <c r="AA175" i="28"/>
  <c r="AC179" i="28"/>
  <c r="AI179" i="28"/>
  <c r="AB179" i="28"/>
  <c r="AA179" i="28"/>
  <c r="AC199" i="28"/>
  <c r="AB199" i="28"/>
  <c r="AA199" i="28"/>
  <c r="H74" i="29"/>
  <c r="O76" i="29"/>
  <c r="C116" i="29"/>
  <c r="Q116" i="29"/>
  <c r="S155" i="29"/>
  <c r="Q160" i="29"/>
  <c r="CC15" i="30"/>
  <c r="CC60" i="30" s="1"/>
  <c r="DY76" i="30"/>
  <c r="DY65" i="30"/>
  <c r="DU78" i="30"/>
  <c r="DU67" i="30"/>
  <c r="DJ79" i="30"/>
  <c r="DJ68" i="30"/>
  <c r="AG175" i="31"/>
  <c r="AC175" i="31"/>
  <c r="AB175" i="31"/>
  <c r="AA175" i="31"/>
  <c r="AA179" i="31"/>
  <c r="AC179" i="31"/>
  <c r="AG179" i="31"/>
  <c r="AB179" i="31"/>
  <c r="AC183" i="31"/>
  <c r="AI183" i="31"/>
  <c r="AB183" i="31"/>
  <c r="AA183" i="31"/>
  <c r="AA195" i="31"/>
  <c r="AC195" i="31"/>
  <c r="AB195" i="31"/>
  <c r="AB199" i="31"/>
  <c r="AC199" i="31"/>
  <c r="AA199" i="31"/>
  <c r="AA203" i="31"/>
  <c r="AC203" i="31"/>
  <c r="AB203" i="31"/>
  <c r="AC207" i="31"/>
  <c r="AA207" i="31"/>
  <c r="I72" i="29"/>
  <c r="X72" i="29"/>
  <c r="W73" i="29"/>
  <c r="K5" i="29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BP99" i="30" s="1"/>
  <c r="BP100" i="30" s="1"/>
  <c r="BP101" i="30" s="1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S46" i="29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AB178" i="31"/>
  <c r="C72" i="29"/>
  <c r="Q72" i="29"/>
  <c r="Q73" i="29"/>
  <c r="I112" i="29"/>
  <c r="K113" i="29"/>
  <c r="J25" i="29"/>
  <c r="R25" i="29"/>
  <c r="R29" i="29" s="1"/>
  <c r="Z25" i="29"/>
  <c r="I159" i="29"/>
  <c r="I160" i="29"/>
  <c r="W160" i="29"/>
  <c r="O161" i="29"/>
  <c r="E47" i="29"/>
  <c r="M47" i="29"/>
  <c r="U46" i="29"/>
  <c r="BB15" i="30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S26" i="29"/>
  <c r="S30" i="29" s="1"/>
  <c r="E153" i="29"/>
  <c r="I155" i="29"/>
  <c r="Q159" i="29"/>
  <c r="K160" i="29"/>
  <c r="Y160" i="29"/>
  <c r="S161" i="29"/>
  <c r="F47" i="29"/>
  <c r="N47" i="29"/>
  <c r="V47" i="29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O47" i="29"/>
  <c r="W47" i="29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G8" i="29" s="1"/>
  <c r="O5" i="29"/>
  <c r="O9" i="29" s="1"/>
  <c r="O20" i="29"/>
  <c r="O21" i="29" s="1"/>
  <c r="O7" i="29" s="1"/>
  <c r="O12" i="29" s="1"/>
  <c r="O4" i="29"/>
  <c r="O3" i="29"/>
  <c r="O8" i="29" s="1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4" i="29"/>
  <c r="P3" i="29"/>
  <c r="P8" i="29" s="1"/>
  <c r="X26" i="29"/>
  <c r="X30" i="29" s="1"/>
  <c r="X25" i="29"/>
  <c r="X29" i="29" s="1"/>
  <c r="H5" i="29"/>
  <c r="H9" i="29" s="1"/>
  <c r="H20" i="29"/>
  <c r="H4" i="29"/>
  <c r="H3" i="29"/>
  <c r="H26" i="29"/>
  <c r="H30" i="29" s="1"/>
  <c r="H25" i="29"/>
  <c r="H29" i="29" s="1"/>
  <c r="K4" i="29"/>
  <c r="K20" i="29"/>
  <c r="K21" i="29" s="1"/>
  <c r="K7" i="29" s="1"/>
  <c r="J20" i="29"/>
  <c r="J21" i="29" s="1"/>
  <c r="J7" i="29" s="1"/>
  <c r="R20" i="29"/>
  <c r="R21" i="29" s="1"/>
  <c r="R7" i="29" s="1"/>
  <c r="R12" i="29" s="1"/>
  <c r="Z20" i="29"/>
  <c r="Z21" i="29" s="1"/>
  <c r="Z7" i="29" s="1"/>
  <c r="Z12" i="29" s="1"/>
  <c r="I5" i="29"/>
  <c r="I20" i="29"/>
  <c r="I21" i="29" s="1"/>
  <c r="I7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25" i="29"/>
  <c r="Q26" i="29"/>
  <c r="Q30" i="29" s="1"/>
  <c r="Q25" i="29"/>
  <c r="Q29" i="29" s="1"/>
  <c r="Y26" i="29"/>
  <c r="Y25" i="29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41" i="29"/>
  <c r="C42" i="29" s="1"/>
  <c r="C26" i="29"/>
  <c r="C32" i="29" s="1"/>
  <c r="D5" i="29"/>
  <c r="D20" i="29"/>
  <c r="D21" i="29" s="1"/>
  <c r="D7" i="29" s="1"/>
  <c r="D4" i="29"/>
  <c r="D3" i="29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T8" i="29" s="1"/>
  <c r="D26" i="29"/>
  <c r="D25" i="29"/>
  <c r="L26" i="29"/>
  <c r="L25" i="29"/>
  <c r="T26" i="29"/>
  <c r="T30" i="29" s="1"/>
  <c r="T25" i="29"/>
  <c r="T29" i="29" s="1"/>
  <c r="E71" i="29"/>
  <c r="E3" i="29"/>
  <c r="E4" i="29"/>
  <c r="E5" i="29"/>
  <c r="E20" i="29"/>
  <c r="E21" i="29" s="1"/>
  <c r="E7" i="29" s="1"/>
  <c r="M4" i="29"/>
  <c r="M5" i="29"/>
  <c r="M9" i="29" s="1"/>
  <c r="M3" i="29"/>
  <c r="M8" i="29" s="1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E29" i="29" s="1"/>
  <c r="M26" i="29"/>
  <c r="M25" i="29"/>
  <c r="U26" i="29"/>
  <c r="U25" i="29"/>
  <c r="C3" i="29"/>
  <c r="C201" i="29" s="1"/>
  <c r="S25" i="29"/>
  <c r="S29" i="29" s="1"/>
  <c r="F5" i="29"/>
  <c r="F20" i="29"/>
  <c r="F21" i="29" s="1"/>
  <c r="F7" i="29" s="1"/>
  <c r="F4" i="29"/>
  <c r="F3" i="29"/>
  <c r="N5" i="29"/>
  <c r="N9" i="29" s="1"/>
  <c r="N20" i="29"/>
  <c r="N21" i="29" s="1"/>
  <c r="N7" i="29" s="1"/>
  <c r="N12" i="29" s="1"/>
  <c r="N4" i="29"/>
  <c r="N3" i="29"/>
  <c r="N8" i="29" s="1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29" i="29" s="1"/>
  <c r="F112" i="29"/>
  <c r="N112" i="29"/>
  <c r="N26" i="29"/>
  <c r="N30" i="29" s="1"/>
  <c r="N25" i="29"/>
  <c r="N29" i="29" s="1"/>
  <c r="V112" i="29"/>
  <c r="V26" i="29"/>
  <c r="V25" i="29"/>
  <c r="M46" i="29"/>
  <c r="W46" i="29"/>
  <c r="J47" i="29"/>
  <c r="U47" i="29"/>
  <c r="H71" i="29"/>
  <c r="S71" i="29"/>
  <c r="K74" i="29"/>
  <c r="X74" i="29"/>
  <c r="Q110" i="29"/>
  <c r="M153" i="29"/>
  <c r="I156" i="29"/>
  <c r="V156" i="29"/>
  <c r="K157" i="29"/>
  <c r="C46" i="29"/>
  <c r="N46" i="29"/>
  <c r="Y46" i="29"/>
  <c r="Y110" i="29"/>
  <c r="S113" i="29"/>
  <c r="S117" i="29"/>
  <c r="O153" i="29"/>
  <c r="Y155" i="29"/>
  <c r="K156" i="29"/>
  <c r="W156" i="29"/>
  <c r="M157" i="29"/>
  <c r="E46" i="29"/>
  <c r="O46" i="29"/>
  <c r="Z46" i="29"/>
  <c r="K71" i="29"/>
  <c r="U71" i="29"/>
  <c r="M74" i="29"/>
  <c r="Y75" i="29"/>
  <c r="S153" i="29"/>
  <c r="M156" i="29"/>
  <c r="Y156" i="29"/>
  <c r="O157" i="29"/>
  <c r="C159" i="29"/>
  <c r="F46" i="29"/>
  <c r="Q46" i="29"/>
  <c r="C47" i="29"/>
  <c r="L71" i="29"/>
  <c r="W71" i="29"/>
  <c r="G72" i="29"/>
  <c r="R72" i="29"/>
  <c r="P74" i="29"/>
  <c r="S157" i="29"/>
  <c r="G46" i="29"/>
  <c r="R46" i="29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R8" i="29" s="1"/>
  <c r="Z3" i="29"/>
  <c r="Z8" i="29" s="1"/>
  <c r="J4" i="29"/>
  <c r="R4" i="29"/>
  <c r="Z4" i="29"/>
  <c r="G74" i="29"/>
  <c r="U74" i="29"/>
  <c r="H47" i="29"/>
  <c r="P47" i="29"/>
  <c r="X47" i="29"/>
  <c r="D47" i="29"/>
  <c r="L47" i="29"/>
  <c r="T47" i="29"/>
  <c r="C61" i="29"/>
  <c r="C48" i="29" s="1"/>
  <c r="L5" i="31"/>
  <c r="Z258" i="31"/>
  <c r="Z256" i="31"/>
  <c r="Z260" i="31"/>
  <c r="AC201" i="31"/>
  <c r="J126" i="31"/>
  <c r="J130" i="31"/>
  <c r="J123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V106" i="30" s="1"/>
  <c r="CG26" i="30"/>
  <c r="CO26" i="30"/>
  <c r="CO60" i="30" s="1"/>
  <c r="CW26" i="30"/>
  <c r="CW60" i="30" s="1"/>
  <c r="CW106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AA184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N107" i="30" s="1"/>
  <c r="CV27" i="30"/>
  <c r="CV72" i="30" s="1"/>
  <c r="CG27" i="30"/>
  <c r="CG61" i="30" s="1"/>
  <c r="CG107" i="30" s="1"/>
  <c r="CO27" i="30"/>
  <c r="CO61" i="30" s="1"/>
  <c r="CO107" i="30" s="1"/>
  <c r="CW27" i="30"/>
  <c r="CW61" i="30" s="1"/>
  <c r="CH27" i="30"/>
  <c r="CH61" i="30" s="1"/>
  <c r="CP27" i="30"/>
  <c r="CP61" i="30" s="1"/>
  <c r="CP107" i="30" s="1"/>
  <c r="CX27" i="30"/>
  <c r="CI27" i="30"/>
  <c r="CI72" i="30" s="1"/>
  <c r="CQ27" i="30"/>
  <c r="CQ61" i="30" s="1"/>
  <c r="CQ107" i="30" s="1"/>
  <c r="CY27" i="30"/>
  <c r="CJ27" i="30"/>
  <c r="CR27" i="30"/>
  <c r="CR61" i="30" s="1"/>
  <c r="CR107" i="30" s="1"/>
  <c r="CB27" i="30"/>
  <c r="CC27" i="30"/>
  <c r="CK27" i="30"/>
  <c r="CK61" i="30" s="1"/>
  <c r="CS27" i="30"/>
  <c r="CS61" i="30" s="1"/>
  <c r="CS107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M108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Y28" i="28"/>
  <c r="AC28" i="28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X28" i="28"/>
  <c r="AQ96" i="31"/>
  <c r="AU97" i="31"/>
  <c r="V181" i="31"/>
  <c r="AC27" i="28"/>
  <c r="BK96" i="31"/>
  <c r="BH97" i="31"/>
  <c r="AC50" i="31"/>
  <c r="W25" i="28"/>
  <c r="BI99" i="31"/>
  <c r="AT100" i="31"/>
  <c r="BD105" i="31"/>
  <c r="X25" i="28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X27" i="28"/>
  <c r="AA27" i="28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AI197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75" i="30"/>
  <c r="BK64" i="30"/>
  <c r="BK75" i="30"/>
  <c r="BS64" i="30"/>
  <c r="BS75" i="30"/>
  <c r="CH75" i="30"/>
  <c r="CP75" i="30"/>
  <c r="CX75" i="30"/>
  <c r="DJ75" i="30"/>
  <c r="DR75" i="30"/>
  <c r="DZ75" i="30"/>
  <c r="AX66" i="30"/>
  <c r="AX77" i="30"/>
  <c r="BF66" i="30"/>
  <c r="BF77" i="30"/>
  <c r="BN66" i="30"/>
  <c r="BN77" i="30"/>
  <c r="CC77" i="30"/>
  <c r="CK77" i="30"/>
  <c r="CS77" i="30"/>
  <c r="DE77" i="30"/>
  <c r="DM77" i="30"/>
  <c r="DU77" i="30"/>
  <c r="BC67" i="30"/>
  <c r="BC78" i="30"/>
  <c r="BK67" i="30"/>
  <c r="BK78" i="30"/>
  <c r="BS67" i="30"/>
  <c r="BS78" i="30"/>
  <c r="CH78" i="30"/>
  <c r="CP78" i="30"/>
  <c r="CX78" i="30"/>
  <c r="DJ78" i="30"/>
  <c r="DR78" i="30"/>
  <c r="DZ78" i="30"/>
  <c r="AZ68" i="30"/>
  <c r="AZ79" i="30"/>
  <c r="BH68" i="30"/>
  <c r="BH79" i="30"/>
  <c r="BP68" i="30"/>
  <c r="BP79" i="30"/>
  <c r="CE79" i="30"/>
  <c r="CM79" i="30"/>
  <c r="CU79" i="30"/>
  <c r="DG79" i="30"/>
  <c r="DO79" i="30"/>
  <c r="DW79" i="30"/>
  <c r="AX71" i="30"/>
  <c r="AX60" i="30"/>
  <c r="BF71" i="30"/>
  <c r="BF60" i="30"/>
  <c r="BN71" i="30"/>
  <c r="BN60" i="30"/>
  <c r="DE71" i="30"/>
  <c r="DM71" i="30"/>
  <c r="DU71" i="30"/>
  <c r="AZ73" i="30"/>
  <c r="AZ62" i="30"/>
  <c r="BH73" i="30"/>
  <c r="BH62" i="30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I65" i="30"/>
  <c r="BI76" i="30"/>
  <c r="BQ65" i="30"/>
  <c r="BQ76" i="30"/>
  <c r="CF76" i="30"/>
  <c r="CN76" i="30"/>
  <c r="CV76" i="30"/>
  <c r="DH76" i="30"/>
  <c r="DP76" i="30"/>
  <c r="DX76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F80" i="30"/>
  <c r="BN80" i="30"/>
  <c r="BN69" i="30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BE64" i="30"/>
  <c r="BE75" i="30"/>
  <c r="BM75" i="30"/>
  <c r="BM64" i="30"/>
  <c r="CB75" i="30"/>
  <c r="CJ75" i="30"/>
  <c r="CR75" i="30"/>
  <c r="DL75" i="30"/>
  <c r="DT75" i="30"/>
  <c r="EB75" i="30"/>
  <c r="AW78" i="30"/>
  <c r="AW67" i="30"/>
  <c r="BE78" i="30"/>
  <c r="BE67" i="30"/>
  <c r="BM78" i="30"/>
  <c r="BM67" i="30"/>
  <c r="CB78" i="30"/>
  <c r="CJ78" i="30"/>
  <c r="CR78" i="30"/>
  <c r="DL78" i="30"/>
  <c r="DT78" i="30"/>
  <c r="EB78" i="30"/>
  <c r="BB79" i="30"/>
  <c r="BB68" i="30"/>
  <c r="BJ79" i="30"/>
  <c r="BJ68" i="30"/>
  <c r="BR79" i="30"/>
  <c r="BR68" i="30"/>
  <c r="CG79" i="30"/>
  <c r="CO79" i="30"/>
  <c r="CW79" i="30"/>
  <c r="DI79" i="30"/>
  <c r="DQ79" i="30"/>
  <c r="DY79" i="30"/>
  <c r="AY80" i="30"/>
  <c r="AY69" i="30"/>
  <c r="BG80" i="30"/>
  <c r="BG69" i="30"/>
  <c r="BO80" i="30"/>
  <c r="BO69" i="30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73" i="30"/>
  <c r="BR73" i="30"/>
  <c r="BR62" i="30"/>
  <c r="DI73" i="30"/>
  <c r="DQ73" i="30"/>
  <c r="DY73" i="30"/>
  <c r="AZ63" i="30"/>
  <c r="AZ74" i="30"/>
  <c r="BH74" i="30"/>
  <c r="BH63" i="30"/>
  <c r="BH109" i="30" s="1"/>
  <c r="BP63" i="30"/>
  <c r="BP74" i="30"/>
  <c r="CE74" i="30"/>
  <c r="CM74" i="30"/>
  <c r="CU74" i="30"/>
  <c r="DG74" i="30"/>
  <c r="DO74" i="30"/>
  <c r="DW74" i="30"/>
  <c r="BC76" i="30"/>
  <c r="BC65" i="30"/>
  <c r="BK76" i="30"/>
  <c r="BK65" i="30"/>
  <c r="BS76" i="30"/>
  <c r="BS65" i="30"/>
  <c r="CH76" i="30"/>
  <c r="CP76" i="30"/>
  <c r="CX76" i="30"/>
  <c r="DJ76" i="30"/>
  <c r="DR76" i="30"/>
  <c r="DZ76" i="30"/>
  <c r="BA77" i="30"/>
  <c r="BA66" i="30"/>
  <c r="BI77" i="30"/>
  <c r="BI66" i="30"/>
  <c r="BQ77" i="30"/>
  <c r="BQ66" i="30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BG75" i="30"/>
  <c r="BG64" i="30"/>
  <c r="BO75" i="30"/>
  <c r="BO64" i="30"/>
  <c r="CD75" i="30"/>
  <c r="CL75" i="30"/>
  <c r="CT75" i="30"/>
  <c r="DF75" i="30"/>
  <c r="DN75" i="30"/>
  <c r="DV75" i="30"/>
  <c r="AV76" i="30"/>
  <c r="AV65" i="30"/>
  <c r="BD76" i="30"/>
  <c r="BD65" i="30"/>
  <c r="BL76" i="30"/>
  <c r="BL65" i="30"/>
  <c r="CI76" i="30"/>
  <c r="CQ76" i="30"/>
  <c r="CY76" i="30"/>
  <c r="DK76" i="30"/>
  <c r="DS76" i="30"/>
  <c r="EA76" i="30"/>
  <c r="AY78" i="30"/>
  <c r="AY67" i="30"/>
  <c r="BG78" i="30"/>
  <c r="BG67" i="30"/>
  <c r="BO78" i="30"/>
  <c r="BO67" i="30"/>
  <c r="CD78" i="30"/>
  <c r="CL78" i="30"/>
  <c r="CT78" i="30"/>
  <c r="DF78" i="30"/>
  <c r="DN78" i="30"/>
  <c r="DV78" i="30"/>
  <c r="AV79" i="30"/>
  <c r="AV68" i="30"/>
  <c r="BD79" i="30"/>
  <c r="BD68" i="30"/>
  <c r="BL79" i="30"/>
  <c r="BL68" i="30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CG74" i="30"/>
  <c r="CO74" i="30"/>
  <c r="CW74" i="30"/>
  <c r="DI74" i="30"/>
  <c r="DQ74" i="30"/>
  <c r="DY74" i="30"/>
  <c r="AW76" i="30"/>
  <c r="AW65" i="30"/>
  <c r="BE76" i="30"/>
  <c r="BE65" i="30"/>
  <c r="BM76" i="30"/>
  <c r="BM65" i="30"/>
  <c r="CB76" i="30"/>
  <c r="CJ76" i="30"/>
  <c r="CR76" i="30"/>
  <c r="DL76" i="30"/>
  <c r="DT76" i="30"/>
  <c r="EB76" i="30"/>
  <c r="BC77" i="30"/>
  <c r="BC66" i="30"/>
  <c r="BK77" i="30"/>
  <c r="BK66" i="30"/>
  <c r="BS66" i="30"/>
  <c r="BS77" i="30"/>
  <c r="CH77" i="30"/>
  <c r="CP77" i="30"/>
  <c r="CX77" i="30"/>
  <c r="DJ77" i="30"/>
  <c r="DR77" i="30"/>
  <c r="DZ77" i="30"/>
  <c r="AZ78" i="30"/>
  <c r="AZ67" i="30"/>
  <c r="BH67" i="30"/>
  <c r="BH78" i="30"/>
  <c r="BP78" i="30"/>
  <c r="BP67" i="30"/>
  <c r="CE78" i="30"/>
  <c r="CM78" i="30"/>
  <c r="CU78" i="30"/>
  <c r="DG78" i="30"/>
  <c r="DO78" i="30"/>
  <c r="DW78" i="30"/>
  <c r="AW68" i="30"/>
  <c r="AW79" i="30"/>
  <c r="BE79" i="30"/>
  <c r="BE68" i="30"/>
  <c r="BM79" i="30"/>
  <c r="BM68" i="30"/>
  <c r="CB79" i="30"/>
  <c r="CJ79" i="30"/>
  <c r="CR79" i="30"/>
  <c r="DL79" i="30"/>
  <c r="DT79" i="30"/>
  <c r="EB79" i="30"/>
  <c r="BB80" i="30"/>
  <c r="BB69" i="30"/>
  <c r="BJ80" i="30"/>
  <c r="BJ69" i="30"/>
  <c r="BR69" i="30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BE73" i="30"/>
  <c r="BE62" i="30"/>
  <c r="BM73" i="30"/>
  <c r="BM62" i="30"/>
  <c r="CB73" i="30"/>
  <c r="CJ73" i="30"/>
  <c r="CR73" i="30"/>
  <c r="DL73" i="30"/>
  <c r="DT73" i="30"/>
  <c r="EB73" i="30"/>
  <c r="BA75" i="30"/>
  <c r="BA64" i="30"/>
  <c r="BI75" i="30"/>
  <c r="BI64" i="30"/>
  <c r="BQ75" i="30"/>
  <c r="BQ64" i="30"/>
  <c r="CF75" i="30"/>
  <c r="CN75" i="30"/>
  <c r="CV75" i="30"/>
  <c r="DH75" i="30"/>
  <c r="DP75" i="30"/>
  <c r="DX75" i="30"/>
  <c r="AX76" i="30"/>
  <c r="AX65" i="30"/>
  <c r="BF76" i="30"/>
  <c r="BF65" i="30"/>
  <c r="BN76" i="30"/>
  <c r="BN65" i="30"/>
  <c r="CC76" i="30"/>
  <c r="CK76" i="30"/>
  <c r="CS76" i="30"/>
  <c r="DE76" i="30"/>
  <c r="DM76" i="30"/>
  <c r="DU76" i="30"/>
  <c r="BA78" i="30"/>
  <c r="BA67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71" i="30"/>
  <c r="BD60" i="30"/>
  <c r="BD71" i="30"/>
  <c r="BL60" i="30"/>
  <c r="BL71" i="30"/>
  <c r="DK71" i="30"/>
  <c r="DS71" i="30"/>
  <c r="EA71" i="30"/>
  <c r="AX73" i="30"/>
  <c r="AX62" i="30"/>
  <c r="BF73" i="30"/>
  <c r="BF62" i="30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J75" i="30"/>
  <c r="BJ64" i="30"/>
  <c r="BR75" i="30"/>
  <c r="BR64" i="30"/>
  <c r="CG75" i="30"/>
  <c r="CO75" i="30"/>
  <c r="CW75" i="30"/>
  <c r="DI75" i="30"/>
  <c r="DQ75" i="30"/>
  <c r="DY75" i="30"/>
  <c r="AY65" i="30"/>
  <c r="AY76" i="30"/>
  <c r="BG65" i="30"/>
  <c r="BG76" i="30"/>
  <c r="BO76" i="30"/>
  <c r="BO65" i="30"/>
  <c r="CD76" i="30"/>
  <c r="CL76" i="30"/>
  <c r="CT76" i="30"/>
  <c r="DF76" i="30"/>
  <c r="DN76" i="30"/>
  <c r="DV76" i="30"/>
  <c r="AW66" i="30"/>
  <c r="AW77" i="30"/>
  <c r="BE66" i="30"/>
  <c r="BE77" i="30"/>
  <c r="BM77" i="30"/>
  <c r="BM66" i="30"/>
  <c r="CB77" i="30"/>
  <c r="CJ77" i="30"/>
  <c r="CR77" i="30"/>
  <c r="DL77" i="30"/>
  <c r="DT77" i="30"/>
  <c r="EB77" i="30"/>
  <c r="BB78" i="30"/>
  <c r="BB67" i="30"/>
  <c r="BJ67" i="30"/>
  <c r="BJ78" i="30"/>
  <c r="BR78" i="30"/>
  <c r="BR67" i="30"/>
  <c r="CG78" i="30"/>
  <c r="CO78" i="30"/>
  <c r="CW78" i="30"/>
  <c r="DI78" i="30"/>
  <c r="DQ78" i="30"/>
  <c r="DY78" i="30"/>
  <c r="AY68" i="30"/>
  <c r="AY79" i="30"/>
  <c r="BG79" i="30"/>
  <c r="BG68" i="30"/>
  <c r="BO79" i="30"/>
  <c r="BO68" i="30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DH73" i="30"/>
  <c r="DP73" i="30"/>
  <c r="DX73" i="30"/>
  <c r="CF74" i="30"/>
  <c r="CN74" i="30"/>
  <c r="CV74" i="30"/>
  <c r="DH74" i="30"/>
  <c r="DP74" i="30"/>
  <c r="DX74" i="30"/>
  <c r="AZ76" i="30"/>
  <c r="AZ65" i="30"/>
  <c r="BH76" i="30"/>
  <c r="BH65" i="30"/>
  <c r="BP76" i="30"/>
  <c r="BP65" i="30"/>
  <c r="CE76" i="30"/>
  <c r="CM76" i="30"/>
  <c r="CU76" i="30"/>
  <c r="DG76" i="30"/>
  <c r="DW76" i="30"/>
  <c r="BB77" i="30"/>
  <c r="BB66" i="30"/>
  <c r="BJ77" i="30"/>
  <c r="BJ66" i="30"/>
  <c r="CG77" i="30"/>
  <c r="CO77" i="30"/>
  <c r="CW77" i="30"/>
  <c r="DI77" i="30"/>
  <c r="DQ77" i="30"/>
  <c r="DY77" i="30"/>
  <c r="AV78" i="30"/>
  <c r="AV67" i="30"/>
  <c r="BD78" i="30"/>
  <c r="BD67" i="30"/>
  <c r="BL78" i="30"/>
  <c r="BL67" i="30"/>
  <c r="CI78" i="30"/>
  <c r="CQ78" i="30"/>
  <c r="DK78" i="30"/>
  <c r="DS78" i="30"/>
  <c r="EA78" i="30"/>
  <c r="BA79" i="30"/>
  <c r="BA68" i="30"/>
  <c r="BI79" i="30"/>
  <c r="BI68" i="30"/>
  <c r="BQ79" i="30"/>
  <c r="BQ68" i="30"/>
  <c r="CF79" i="30"/>
  <c r="CV79" i="30"/>
  <c r="DH79" i="30"/>
  <c r="DP79" i="30"/>
  <c r="DX79" i="30"/>
  <c r="BZ27" i="30"/>
  <c r="BZ91" i="30" s="1"/>
  <c r="DC28" i="30"/>
  <c r="DC92" i="30" s="1"/>
  <c r="DC37" i="30"/>
  <c r="BN64" i="30"/>
  <c r="BB65" i="30"/>
  <c r="AZ66" i="30"/>
  <c r="AX67" i="30"/>
  <c r="BA71" i="30"/>
  <c r="BA60" i="30"/>
  <c r="CV71" i="30"/>
  <c r="DP71" i="30"/>
  <c r="DX71" i="30"/>
  <c r="DP72" i="30"/>
  <c r="BI73" i="30"/>
  <c r="BI62" i="30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BH75" i="30"/>
  <c r="BH64" i="30"/>
  <c r="BP75" i="30"/>
  <c r="BP64" i="30"/>
  <c r="CE75" i="30"/>
  <c r="CM75" i="30"/>
  <c r="CU75" i="30"/>
  <c r="DG75" i="30"/>
  <c r="DO75" i="30"/>
  <c r="DW75" i="30"/>
  <c r="BJ76" i="30"/>
  <c r="BJ65" i="30"/>
  <c r="BR76" i="30"/>
  <c r="BR65" i="30"/>
  <c r="CG76" i="30"/>
  <c r="CO76" i="30"/>
  <c r="CW76" i="30"/>
  <c r="DI76" i="30"/>
  <c r="DQ76" i="30"/>
  <c r="AV77" i="30"/>
  <c r="AV66" i="30"/>
  <c r="BD77" i="30"/>
  <c r="BD66" i="30"/>
  <c r="BL77" i="30"/>
  <c r="BL66" i="30"/>
  <c r="CI77" i="30"/>
  <c r="CY77" i="30"/>
  <c r="DK77" i="30"/>
  <c r="DS77" i="30"/>
  <c r="EA77" i="30"/>
  <c r="BF78" i="30"/>
  <c r="BF67" i="30"/>
  <c r="BF113" i="30" s="1"/>
  <c r="BN78" i="30"/>
  <c r="BN67" i="30"/>
  <c r="CC78" i="30"/>
  <c r="CK78" i="30"/>
  <c r="CS78" i="30"/>
  <c r="DE78" i="30"/>
  <c r="DM78" i="30"/>
  <c r="BC79" i="30"/>
  <c r="BC68" i="30"/>
  <c r="BK79" i="30"/>
  <c r="BK68" i="30"/>
  <c r="BS79" i="30"/>
  <c r="BS68" i="30"/>
  <c r="CH79" i="30"/>
  <c r="CP79" i="30"/>
  <c r="CX79" i="30"/>
  <c r="DR79" i="30"/>
  <c r="DZ79" i="30"/>
  <c r="AZ80" i="30"/>
  <c r="AZ69" i="30"/>
  <c r="BH80" i="30"/>
  <c r="BH69" i="30"/>
  <c r="BP80" i="30"/>
  <c r="BP69" i="30"/>
  <c r="CM80" i="30"/>
  <c r="DO80" i="30"/>
  <c r="DW80" i="30"/>
  <c r="BZ26" i="30"/>
  <c r="BZ90" i="30" s="1"/>
  <c r="BC31" i="30"/>
  <c r="BK31" i="30"/>
  <c r="BS31" i="30"/>
  <c r="BZ65" i="30"/>
  <c r="BR66" i="30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BG73" i="30"/>
  <c r="BG62" i="30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BD75" i="30"/>
  <c r="BD64" i="30"/>
  <c r="BL75" i="30"/>
  <c r="BL64" i="30"/>
  <c r="CI75" i="30"/>
  <c r="CQ75" i="30"/>
  <c r="CY75" i="30"/>
  <c r="DK75" i="30"/>
  <c r="DS75" i="30"/>
  <c r="EA75" i="30"/>
  <c r="BH77" i="30"/>
  <c r="BH66" i="30"/>
  <c r="BP77" i="30"/>
  <c r="BP66" i="30"/>
  <c r="CE77" i="30"/>
  <c r="CM77" i="30"/>
  <c r="CU77" i="30"/>
  <c r="DG77" i="30"/>
  <c r="DO77" i="30"/>
  <c r="BZ24" i="30"/>
  <c r="BZ57" i="30" s="1"/>
  <c r="CD71" i="30"/>
  <c r="BB27" i="30"/>
  <c r="BB61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K100" i="30"/>
  <c r="DK101" i="30" s="1"/>
  <c r="DC106" i="30"/>
  <c r="DC71" i="30"/>
  <c r="DC39" i="30"/>
  <c r="DC62" i="30"/>
  <c r="DC19" i="30"/>
  <c r="DC52" i="30" s="1"/>
  <c r="AW80" i="30"/>
  <c r="AW69" i="30"/>
  <c r="BE80" i="30"/>
  <c r="BE69" i="30"/>
  <c r="BM69" i="30"/>
  <c r="CR80" i="30"/>
  <c r="DL80" i="30"/>
  <c r="DT80" i="30"/>
  <c r="EB80" i="30"/>
  <c r="CE71" i="30"/>
  <c r="BC27" i="30"/>
  <c r="BC61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K35" i="30"/>
  <c r="BK80" i="30" s="1"/>
  <c r="BS35" i="30"/>
  <c r="BS80" i="30" s="1"/>
  <c r="CG80" i="30"/>
  <c r="CW80" i="30"/>
  <c r="AX99" i="30"/>
  <c r="AX100" i="30" s="1"/>
  <c r="AX101" i="30" s="1"/>
  <c r="BF99" i="30"/>
  <c r="BF100" i="30" s="1"/>
  <c r="BF101" i="30" s="1"/>
  <c r="BN99" i="30"/>
  <c r="BN100" i="30" s="1"/>
  <c r="BN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BD35" i="30"/>
  <c r="BD69" i="30" s="1"/>
  <c r="BL35" i="30"/>
  <c r="BL69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W175" i="31"/>
  <c r="V175" i="31"/>
  <c r="AI175" i="3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W206" i="31"/>
  <c r="AG206" i="31"/>
  <c r="V206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V205" i="31"/>
  <c r="AF181" i="31"/>
  <c r="U205" i="31"/>
  <c r="AF205" i="31"/>
  <c r="W274" i="31"/>
  <c r="AM218" i="33" s="1"/>
  <c r="AG181" i="31"/>
  <c r="V197" i="31"/>
  <c r="W205" i="31"/>
  <c r="AG205" i="31"/>
  <c r="Z259" i="31"/>
  <c r="Z257" i="31"/>
  <c r="U197" i="31"/>
  <c r="AF197" i="31"/>
  <c r="AI205" i="31"/>
  <c r="AI181" i="31"/>
  <c r="W197" i="31"/>
  <c r="AG197" i="31"/>
  <c r="AJ205" i="31"/>
  <c r="X246" i="31"/>
  <c r="AB207" i="31"/>
  <c r="X235" i="31"/>
  <c r="C308" i="33" s="1"/>
  <c r="T258" i="31"/>
  <c r="U258" i="31" s="1"/>
  <c r="X236" i="31"/>
  <c r="C309" i="33" s="1"/>
  <c r="T275" i="31"/>
  <c r="X275" i="31" s="1"/>
  <c r="K70" i="29"/>
  <c r="D46" i="29"/>
  <c r="L46" i="29"/>
  <c r="T46" i="29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P46" i="29"/>
  <c r="X46" i="29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21" i="29"/>
  <c r="C7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BF4" i="29"/>
  <c r="S62" i="29"/>
  <c r="Z28" i="28"/>
  <c r="AC171" i="28"/>
  <c r="AA206" i="28"/>
  <c r="AJ179" i="28"/>
  <c r="Y26" i="28"/>
  <c r="Y25" i="28"/>
  <c r="W29" i="28"/>
  <c r="AC178" i="28"/>
  <c r="AB25" i="28"/>
  <c r="K73" i="28"/>
  <c r="AP7" i="29" s="1"/>
  <c r="Y30" i="28"/>
  <c r="X30" i="28"/>
  <c r="AC30" i="28"/>
  <c r="Z30" i="28"/>
  <c r="W30" i="28"/>
  <c r="AB30" i="28"/>
  <c r="AA30" i="28"/>
  <c r="AC31" i="28"/>
  <c r="AA196" i="28"/>
  <c r="W26" i="28"/>
  <c r="AA198" i="28"/>
  <c r="Y24" i="28"/>
  <c r="Z26" i="28"/>
  <c r="AB32" i="28"/>
  <c r="AA32" i="28"/>
  <c r="X32" i="28"/>
  <c r="Z24" i="28"/>
  <c r="W28" i="28"/>
  <c r="AA28" i="28"/>
  <c r="X31" i="28"/>
  <c r="W32" i="28"/>
  <c r="Y33" i="28"/>
  <c r="X33" i="28"/>
  <c r="AC33" i="28"/>
  <c r="U179" i="28"/>
  <c r="AG179" i="28"/>
  <c r="V179" i="28"/>
  <c r="AA24" i="28"/>
  <c r="Z27" i="28"/>
  <c r="Y27" i="28"/>
  <c r="AB29" i="28"/>
  <c r="AA29" i="28"/>
  <c r="X29" i="28"/>
  <c r="Y31" i="28"/>
  <c r="Y32" i="28"/>
  <c r="Z33" i="28"/>
  <c r="AA181" i="28"/>
  <c r="X24" i="28"/>
  <c r="W24" i="28"/>
  <c r="AB24" i="28"/>
  <c r="W31" i="28"/>
  <c r="AA31" i="28"/>
  <c r="Z32" i="28"/>
  <c r="AA33" i="28"/>
  <c r="S228" i="28"/>
  <c r="AC25" i="28"/>
  <c r="Z25" i="28"/>
  <c r="W27" i="28"/>
  <c r="Y29" i="28"/>
  <c r="AB31" i="28"/>
  <c r="AC32" i="28"/>
  <c r="AB33" i="28"/>
  <c r="AA172" i="28"/>
  <c r="AA174" i="28"/>
  <c r="AB26" i="28"/>
  <c r="AA26" i="28"/>
  <c r="X26" i="28"/>
  <c r="AF201" i="28"/>
  <c r="U201" i="28"/>
  <c r="AG201" i="28"/>
  <c r="AJ201" i="28"/>
  <c r="W201" i="28"/>
  <c r="V201" i="28"/>
  <c r="AC205" i="28"/>
  <c r="AC202" i="28"/>
  <c r="AA182" i="28"/>
  <c r="AF195" i="28"/>
  <c r="AC194" i="28"/>
  <c r="U195" i="28"/>
  <c r="T14" i="7"/>
  <c r="T13" i="7"/>
  <c r="T12" i="7"/>
  <c r="T11" i="7"/>
  <c r="T256" i="31" l="1"/>
  <c r="U256" i="31" s="1"/>
  <c r="T257" i="31"/>
  <c r="U257" i="31" s="1"/>
  <c r="T260" i="31"/>
  <c r="U260" i="31" s="1"/>
  <c r="U8" i="29"/>
  <c r="Q8" i="29"/>
  <c r="L8" i="29"/>
  <c r="L201" i="29" s="1"/>
  <c r="AF187" i="31"/>
  <c r="H8" i="29"/>
  <c r="H201" i="29" s="1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E201" i="29"/>
  <c r="E212" i="29" s="1"/>
  <c r="N201" i="29"/>
  <c r="P201" i="29"/>
  <c r="I201" i="29"/>
  <c r="Q201" i="29"/>
  <c r="M201" i="29"/>
  <c r="K201" i="29"/>
  <c r="U167" i="28"/>
  <c r="V167" i="28"/>
  <c r="W167" i="28"/>
  <c r="AF188" i="28"/>
  <c r="V188" i="28"/>
  <c r="W188" i="28"/>
  <c r="AN215" i="33"/>
  <c r="AK226" i="33"/>
  <c r="AO226" i="33" s="1"/>
  <c r="C6" i="29"/>
  <c r="C181" i="29"/>
  <c r="C196" i="29" s="1"/>
  <c r="S59" i="29"/>
  <c r="V196" i="31"/>
  <c r="U188" i="31"/>
  <c r="AI184" i="28"/>
  <c r="AG196" i="31"/>
  <c r="AG188" i="31"/>
  <c r="V164" i="31"/>
  <c r="AI164" i="31"/>
  <c r="U184" i="28"/>
  <c r="U196" i="31"/>
  <c r="AN218" i="33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C212" i="29"/>
  <c r="AI180" i="28"/>
  <c r="V168" i="28"/>
  <c r="AE176" i="31"/>
  <c r="AI184" i="31"/>
  <c r="Z201" i="29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D291" i="33"/>
  <c r="D293" i="33"/>
  <c r="S201" i="29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U201" i="29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BF117" i="30"/>
  <c r="Q5" i="30" s="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S53" i="29" s="1"/>
  <c r="AI190" i="31"/>
  <c r="AI177" i="31"/>
  <c r="V169" i="31"/>
  <c r="AE168" i="28"/>
  <c r="U168" i="28"/>
  <c r="CJ61" i="30"/>
  <c r="CP62" i="30"/>
  <c r="CI61" i="30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F201" i="29"/>
  <c r="G201" i="29"/>
  <c r="CL60" i="30"/>
  <c r="AI176" i="28"/>
  <c r="AG176" i="28"/>
  <c r="U190" i="31"/>
  <c r="V177" i="31"/>
  <c r="AI172" i="31"/>
  <c r="AG169" i="31"/>
  <c r="CH71" i="30"/>
  <c r="B95" i="30"/>
  <c r="D95" i="30" s="1"/>
  <c r="AG190" i="31"/>
  <c r="AE176" i="28"/>
  <c r="J201" i="29"/>
  <c r="X201" i="29"/>
  <c r="C251" i="33"/>
  <c r="D251" i="33" s="1"/>
  <c r="CK62" i="30"/>
  <c r="CG62" i="30"/>
  <c r="CV61" i="30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S57" i="29"/>
  <c r="AE177" i="31"/>
  <c r="U172" i="31"/>
  <c r="CI60" i="30"/>
  <c r="CK60" i="30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AE33" i="29"/>
  <c r="T240" i="31" s="1"/>
  <c r="T273" i="31" s="1"/>
  <c r="C41" i="33"/>
  <c r="D41" i="33" s="1"/>
  <c r="BC60" i="30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BC74" i="30"/>
  <c r="BK62" i="30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Q74" i="30"/>
  <c r="BC72" i="30"/>
  <c r="BA74" i="30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C34" i="29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C11" i="29"/>
  <c r="C13" i="29" s="1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AC34" i="28"/>
  <c r="K39" i="28" s="1"/>
  <c r="C96" i="33" s="1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CG73" i="30"/>
  <c r="AW61" i="30"/>
  <c r="AX69" i="30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BA69" i="30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61" i="30"/>
  <c r="BS107" i="30" s="1"/>
  <c r="BA61" i="30"/>
  <c r="BA107" i="30" s="1"/>
  <c r="CY80" i="30"/>
  <c r="BD80" i="30"/>
  <c r="BD81" i="30" s="1"/>
  <c r="CY71" i="30"/>
  <c r="BS69" i="30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DJ117" i="30"/>
  <c r="L7" i="30" s="1"/>
  <c r="AV80" i="30"/>
  <c r="AV84" i="30" s="1"/>
  <c r="CQ71" i="30"/>
  <c r="BK69" i="30"/>
  <c r="CI73" i="30"/>
  <c r="CO71" i="30"/>
  <c r="CS72" i="30"/>
  <c r="CS82" i="30" s="1"/>
  <c r="CW73" i="30"/>
  <c r="AW63" i="30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G60" i="30"/>
  <c r="BQ69" i="30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CI83" i="30"/>
  <c r="CI84" i="30"/>
  <c r="CI82" i="30"/>
  <c r="CI81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BA83" i="30"/>
  <c r="BA82" i="30"/>
  <c r="BA81" i="30"/>
  <c r="BA84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C38" i="29"/>
  <c r="C36" i="29"/>
  <c r="C37" i="29"/>
  <c r="K41" i="29"/>
  <c r="K38" i="29"/>
  <c r="K36" i="29"/>
  <c r="K40" i="29"/>
  <c r="K27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9" i="29"/>
  <c r="T58" i="29"/>
  <c r="T57" i="29"/>
  <c r="Z62" i="29"/>
  <c r="Z61" i="29"/>
  <c r="Z48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9" i="29"/>
  <c r="L58" i="29"/>
  <c r="L57" i="29"/>
  <c r="R62" i="29"/>
  <c r="R61" i="29"/>
  <c r="R48" i="29" s="1"/>
  <c r="R59" i="29"/>
  <c r="R58" i="29"/>
  <c r="R57" i="29"/>
  <c r="S60" i="29"/>
  <c r="S64" i="29" s="1"/>
  <c r="D62" i="29"/>
  <c r="D61" i="29"/>
  <c r="D48" i="29" s="1"/>
  <c r="D59" i="29"/>
  <c r="D58" i="29"/>
  <c r="D57" i="29"/>
  <c r="J62" i="29"/>
  <c r="J61" i="29"/>
  <c r="J48" i="29" s="1"/>
  <c r="J59" i="29"/>
  <c r="J58" i="29"/>
  <c r="J57" i="29"/>
  <c r="E62" i="29"/>
  <c r="E61" i="29"/>
  <c r="E48" i="29" s="1"/>
  <c r="E59" i="29"/>
  <c r="E58" i="29"/>
  <c r="E57" i="29"/>
  <c r="V57" i="29"/>
  <c r="V59" i="29"/>
  <c r="V61" i="29"/>
  <c r="V48" i="29" s="1"/>
  <c r="V58" i="29"/>
  <c r="V62" i="29"/>
  <c r="M41" i="29"/>
  <c r="M40" i="29"/>
  <c r="M27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9" i="29"/>
  <c r="G58" i="29"/>
  <c r="G57" i="29"/>
  <c r="F62" i="29"/>
  <c r="F57" i="29"/>
  <c r="F59" i="29"/>
  <c r="F61" i="29"/>
  <c r="F48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9" i="29"/>
  <c r="X58" i="29"/>
  <c r="X57" i="29"/>
  <c r="I41" i="29"/>
  <c r="I40" i="29"/>
  <c r="I27" i="29" s="1"/>
  <c r="I38" i="29"/>
  <c r="I37" i="29"/>
  <c r="I36" i="29"/>
  <c r="W62" i="29"/>
  <c r="W61" i="29"/>
  <c r="W48" i="29" s="1"/>
  <c r="W59" i="29"/>
  <c r="W58" i="29"/>
  <c r="W57" i="29"/>
  <c r="K62" i="29"/>
  <c r="K61" i="29"/>
  <c r="K48" i="29" s="1"/>
  <c r="K59" i="29"/>
  <c r="K58" i="29"/>
  <c r="K57" i="29"/>
  <c r="C59" i="29"/>
  <c r="C58" i="29"/>
  <c r="C57" i="29"/>
  <c r="U41" i="29"/>
  <c r="U40" i="29"/>
  <c r="U27" i="29" s="1"/>
  <c r="U38" i="29"/>
  <c r="U37" i="29"/>
  <c r="U36" i="29"/>
  <c r="L38" i="29"/>
  <c r="L40" i="29"/>
  <c r="L27" i="29" s="1"/>
  <c r="L41" i="29"/>
  <c r="L37" i="29"/>
  <c r="L36" i="29"/>
  <c r="Y61" i="29"/>
  <c r="Y48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9" i="29"/>
  <c r="Q58" i="29"/>
  <c r="Q57" i="29"/>
  <c r="J41" i="29"/>
  <c r="J40" i="29"/>
  <c r="J27" i="29" s="1"/>
  <c r="J38" i="29"/>
  <c r="J37" i="29"/>
  <c r="J36" i="29"/>
  <c r="H62" i="29"/>
  <c r="H61" i="29"/>
  <c r="H48" i="29" s="1"/>
  <c r="H59" i="29"/>
  <c r="H58" i="29"/>
  <c r="H57" i="29"/>
  <c r="U62" i="29"/>
  <c r="U61" i="29"/>
  <c r="U48" i="29" s="1"/>
  <c r="U59" i="29"/>
  <c r="U58" i="29"/>
  <c r="U57" i="29"/>
  <c r="M62" i="29"/>
  <c r="M61" i="29"/>
  <c r="M48" i="29" s="1"/>
  <c r="M59" i="29"/>
  <c r="M58" i="29"/>
  <c r="M57" i="29"/>
  <c r="V36" i="29"/>
  <c r="V37" i="29"/>
  <c r="V41" i="29"/>
  <c r="V38" i="29"/>
  <c r="V40" i="29"/>
  <c r="V27" i="29" s="1"/>
  <c r="I62" i="29"/>
  <c r="I61" i="29"/>
  <c r="I48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Y34" i="28"/>
  <c r="K36" i="28" s="1"/>
  <c r="C92" i="33" s="1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B34" i="28"/>
  <c r="K32" i="28" s="1"/>
  <c r="C89" i="33" s="1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W34" i="28"/>
  <c r="K34" i="28" s="1"/>
  <c r="C90" i="33" s="1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Z34" i="28"/>
  <c r="K37" i="28" s="1"/>
  <c r="C93" i="33" s="1"/>
  <c r="AE204" i="28"/>
  <c r="W204" i="28"/>
  <c r="AJ204" i="28"/>
  <c r="AF204" i="28"/>
  <c r="AG204" i="28"/>
  <c r="U204" i="28"/>
  <c r="AI204" i="28"/>
  <c r="V204" i="28"/>
  <c r="AA34" i="28"/>
  <c r="K38" i="28" s="1"/>
  <c r="C94" i="33" s="1"/>
  <c r="X34" i="28"/>
  <c r="K35" i="28" s="1"/>
  <c r="C91" i="33" s="1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I187" i="28" l="1"/>
  <c r="AI166" i="31"/>
  <c r="AI188" i="28"/>
  <c r="AI188" i="31"/>
  <c r="AJ166" i="31"/>
  <c r="AH166" i="28"/>
  <c r="AJ166" i="28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S55" i="29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CN85" i="30" s="1"/>
  <c r="BC84" i="30"/>
  <c r="CO82" i="30"/>
  <c r="CY117" i="30"/>
  <c r="AD6" i="30" s="1"/>
  <c r="CN83" i="30"/>
  <c r="BC81" i="30"/>
  <c r="Q60" i="29"/>
  <c r="D275" i="33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CQ85" i="30" s="1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59" i="30"/>
  <c r="F59" i="30" s="1"/>
  <c r="C271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M85" i="30"/>
  <c r="CJ85" i="30"/>
  <c r="DI85" i="30"/>
  <c r="CR85" i="30"/>
  <c r="DE85" i="30"/>
  <c r="BC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O39" i="29"/>
  <c r="M60" i="29"/>
  <c r="U63" i="29"/>
  <c r="U49" i="29" s="1"/>
  <c r="P63" i="29"/>
  <c r="P49" i="29" s="1"/>
  <c r="C60" i="29"/>
  <c r="C64" i="29" s="1"/>
  <c r="W63" i="29"/>
  <c r="W49" i="29" s="1"/>
  <c r="F60" i="29"/>
  <c r="N60" i="29"/>
  <c r="F42" i="29"/>
  <c r="F28" i="29" s="1"/>
  <c r="F33" i="29" s="1"/>
  <c r="R63" i="29"/>
  <c r="R49" i="29" s="1"/>
  <c r="T63" i="29"/>
  <c r="T49" i="29" s="1"/>
  <c r="S32" i="29"/>
  <c r="F63" i="29"/>
  <c r="F49" i="29" s="1"/>
  <c r="I63" i="29"/>
  <c r="I49" i="29" s="1"/>
  <c r="J42" i="29"/>
  <c r="J28" i="29" s="1"/>
  <c r="X63" i="29"/>
  <c r="X49" i="29" s="1"/>
  <c r="E42" i="29"/>
  <c r="E28" i="29" s="1"/>
  <c r="E33" i="29" s="1"/>
  <c r="D63" i="29"/>
  <c r="D49" i="29" s="1"/>
  <c r="K39" i="29"/>
  <c r="Y42" i="29"/>
  <c r="Y28" i="29" s="1"/>
  <c r="Y33" i="29" s="1"/>
  <c r="Z63" i="29"/>
  <c r="Z49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L42" i="29"/>
  <c r="L28" i="29" s="1"/>
  <c r="H39" i="29"/>
  <c r="X42" i="29"/>
  <c r="X28" i="29" s="1"/>
  <c r="X33" i="29" s="1"/>
  <c r="K42" i="29"/>
  <c r="K28" i="29" s="1"/>
  <c r="V42" i="29"/>
  <c r="V28" i="29" s="1"/>
  <c r="H63" i="29"/>
  <c r="H49" i="29" s="1"/>
  <c r="R42" i="29"/>
  <c r="R28" i="29" s="1"/>
  <c r="R33" i="29" s="1"/>
  <c r="I42" i="29"/>
  <c r="I28" i="29" s="1"/>
  <c r="P42" i="29"/>
  <c r="P28" i="29" s="1"/>
  <c r="P33" i="29" s="1"/>
  <c r="M42" i="29"/>
  <c r="M28" i="29" s="1"/>
  <c r="J63" i="29"/>
  <c r="J49" i="29" s="1"/>
  <c r="L63" i="29"/>
  <c r="L49" i="29" s="1"/>
  <c r="G42" i="29"/>
  <c r="G28" i="29" s="1"/>
  <c r="G33" i="29" s="1"/>
  <c r="W32" i="29"/>
  <c r="W34" i="29" s="1"/>
  <c r="O42" i="29"/>
  <c r="N63" i="29"/>
  <c r="N49" i="29" s="1"/>
  <c r="G63" i="29"/>
  <c r="G49" i="29" s="1"/>
  <c r="V63" i="29"/>
  <c r="V49" i="29" s="1"/>
  <c r="W39" i="29"/>
  <c r="W43" i="29" s="1"/>
  <c r="T42" i="29"/>
  <c r="U42" i="29"/>
  <c r="U28" i="29" s="1"/>
  <c r="K63" i="29"/>
  <c r="Z42" i="29"/>
  <c r="Q42" i="29"/>
  <c r="O63" i="29"/>
  <c r="O49" i="29" s="1"/>
  <c r="E63" i="29"/>
  <c r="E49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L64" i="29" s="1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I64" i="29" s="1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CY86" i="30" l="1"/>
  <c r="CY87" i="30"/>
  <c r="CX87" i="30"/>
  <c r="CX86" i="30"/>
  <c r="CF86" i="30"/>
  <c r="CF87" i="30"/>
  <c r="CE86" i="30"/>
  <c r="CE87" i="30"/>
  <c r="CD87" i="30"/>
  <c r="CD86" i="30"/>
  <c r="CC87" i="30"/>
  <c r="CC86" i="30"/>
  <c r="CB86" i="30"/>
  <c r="CB87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J154" i="31" l="1"/>
  <c r="C227" i="33" s="1"/>
  <c r="B149" i="31"/>
  <c r="J149" i="31" s="1"/>
  <c r="C222" i="33" s="1"/>
  <c r="AC240" i="31"/>
  <c r="AF240" i="31" s="1"/>
  <c r="CS102" i="30"/>
  <c r="X10" i="30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CQ102" i="30"/>
  <c r="V10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O102" i="30" l="1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X13" i="30"/>
  <c r="C236" i="33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J170" i="31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C189" i="33"/>
  <c r="D189" i="33" s="1"/>
  <c r="AK189" i="33" s="1"/>
  <c r="AO189" i="33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C78" i="33" s="1"/>
  <c r="BS65" i="33"/>
  <c r="BS76" i="33" s="1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R78" i="33" s="1"/>
  <c r="BJ66" i="33"/>
  <c r="BB65" i="33"/>
  <c r="BB76" i="33" s="1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AZ78" i="33" s="1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A78" i="33" s="1"/>
  <c r="BQ65" i="33"/>
  <c r="BQ76" i="33" s="1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S78" i="33" s="1"/>
  <c r="BK66" i="33"/>
  <c r="BC65" i="33"/>
  <c r="BC76" i="33" s="1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B78" i="33" s="1"/>
  <c r="BR65" i="33"/>
  <c r="BR76" i="33" s="1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P78" i="33" s="1"/>
  <c r="BH66" i="33"/>
  <c r="AZ65" i="33"/>
  <c r="AZ76" i="33" s="1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BA76" i="33" s="1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AW76" i="33" s="1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BD76" i="33" s="1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AX78" i="33" s="1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AV76" i="33" s="1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BQ78" i="33" s="1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BO78" i="33" s="1"/>
  <c r="AY65" i="33"/>
  <c r="AY76" i="33" s="1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AW78" i="33" s="1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BD78" i="33" s="1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Y78" i="33" s="1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AX76" i="33" s="1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AV78" i="33" s="1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F81" i="30"/>
  <c r="C277" i="33" l="1"/>
  <c r="D277" i="33" s="1"/>
  <c r="C193" i="33"/>
  <c r="L210" i="33"/>
  <c r="L211" i="33" s="1"/>
  <c r="L212" i="33" s="1"/>
  <c r="AO192" i="33"/>
  <c r="AL208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24" i="33"/>
  <c r="AZ170" i="33" s="1"/>
  <c r="AZ135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160" i="33" s="1"/>
  <c r="BC161" i="33" s="1"/>
  <c r="BC162" i="33" s="1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B114" i="30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AY13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AX124" i="33"/>
  <c r="AX170" i="33" s="1"/>
  <c r="AX135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J141" i="31"/>
  <c r="C219" i="33" s="1"/>
  <c r="D219" i="33" s="1"/>
  <c r="X248" i="31"/>
  <c r="BE160" i="33" l="1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BP160" i="33"/>
  <c r="BP161" i="33" s="1"/>
  <c r="BP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AL209" i="33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BJ143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P76" i="33" s="1"/>
  <c r="BO65" i="33"/>
  <c r="BO76" i="33" s="1"/>
  <c r="J46" i="31" l="1"/>
  <c r="C210" i="33" s="1"/>
  <c r="BM178" i="33"/>
  <c r="D193" i="33"/>
  <c r="B113" i="30"/>
  <c r="B125" i="30" s="1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J146" i="33" l="1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Q20" i="7"/>
  <c r="Q21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BJ147" i="33" l="1"/>
  <c r="CY148" i="33"/>
  <c r="CE147" i="33"/>
  <c r="CF148" i="33"/>
  <c r="CF163" i="33" s="1"/>
  <c r="CX148" i="33"/>
  <c r="CX163" i="33" s="1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81" i="29"/>
  <c r="J196" i="29" s="1"/>
  <c r="G6" i="29"/>
  <c r="G10" i="29" s="1"/>
  <c r="G181" i="29"/>
  <c r="G196" i="29" s="1"/>
  <c r="K76" i="30" s="1"/>
  <c r="C22" i="29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81" i="29"/>
  <c r="D196" i="29" s="1"/>
  <c r="H76" i="30" s="1"/>
  <c r="E6" i="29"/>
  <c r="E181" i="29"/>
  <c r="E196" i="29" s="1"/>
  <c r="I76" i="30" s="1"/>
  <c r="K6" i="29"/>
  <c r="K181" i="29"/>
  <c r="K196" i="29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81" i="29"/>
  <c r="I196" i="29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Q147" i="33" l="1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O86" i="30" l="1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B49" i="18"/>
  <c r="AA49" i="18" s="1"/>
  <c r="V265" i="31"/>
  <c r="V264" i="31"/>
  <c r="F9" i="30"/>
  <c r="C248" i="33" s="1"/>
  <c r="I66" i="7"/>
  <c r="J66" i="7"/>
  <c r="O66" i="7"/>
  <c r="P66" i="7"/>
  <c r="Q66" i="7"/>
  <c r="G66" i="7"/>
  <c r="B91" i="30" l="1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D217" i="33" l="1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A221" i="24" s="1"/>
  <c r="C301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V185" i="24" l="1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U19" i="7"/>
  <c r="U22" i="7"/>
  <c r="U25" i="7"/>
  <c r="U27" i="7"/>
  <c r="U28" i="7"/>
  <c r="U29" i="7"/>
  <c r="U30" i="7"/>
  <c r="U36" i="7"/>
  <c r="U37" i="7"/>
  <c r="S2" i="7"/>
  <c r="BA4" i="29" s="1"/>
  <c r="S3" i="7"/>
  <c r="S5" i="7"/>
  <c r="S6" i="7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T16" i="7"/>
  <c r="BB18" i="29" s="1"/>
  <c r="BH18" i="29" s="1"/>
  <c r="L2" i="7"/>
  <c r="M2" i="7" s="1"/>
  <c r="U23" i="7" l="1"/>
  <c r="T6" i="7"/>
  <c r="T7" i="7"/>
  <c r="T15" i="7"/>
  <c r="T10" i="7"/>
  <c r="V22" i="7"/>
  <c r="T22" i="7"/>
  <c r="V11" i="7"/>
  <c r="U11" i="7"/>
  <c r="V12" i="7"/>
  <c r="U12" i="7"/>
  <c r="V16" i="7"/>
  <c r="U16" i="7"/>
  <c r="BC18" i="29" s="1"/>
  <c r="V17" i="7"/>
  <c r="U17" i="7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S17" i="7"/>
  <c r="R17" i="7"/>
  <c r="S10" i="7"/>
  <c r="R10" i="7"/>
  <c r="S22" i="7"/>
  <c r="R22" i="7"/>
  <c r="R12" i="7"/>
  <c r="S12" i="7"/>
  <c r="R11" i="7"/>
  <c r="S11" i="7"/>
  <c r="R15" i="7"/>
  <c r="S15" i="7"/>
  <c r="R23" i="7"/>
  <c r="S23" i="7"/>
  <c r="U35" i="7"/>
  <c r="M25" i="7"/>
  <c r="T3" i="7"/>
  <c r="L30" i="7"/>
  <c r="M26" i="7"/>
  <c r="M37" i="7"/>
  <c r="M32" i="7"/>
  <c r="M31" i="7"/>
  <c r="M33" i="7"/>
  <c r="M34" i="7"/>
  <c r="M27" i="7"/>
  <c r="M29" i="7"/>
  <c r="M36" i="7"/>
  <c r="U20" i="7"/>
  <c r="U24" i="7"/>
  <c r="M28" i="7"/>
  <c r="M39" i="7"/>
  <c r="L66" i="7"/>
  <c r="U21" i="7"/>
  <c r="V23" i="7" l="1"/>
  <c r="T23" i="7"/>
  <c r="U15" i="7"/>
  <c r="V6" i="7"/>
  <c r="V15" i="7"/>
  <c r="V4" i="7"/>
  <c r="T4" i="7"/>
  <c r="U4" i="7"/>
  <c r="V9" i="7"/>
  <c r="T9" i="7"/>
  <c r="T8" i="7"/>
  <c r="V8" i="7"/>
  <c r="U7" i="7"/>
  <c r="V7" i="7"/>
  <c r="U10" i="7"/>
  <c r="V10" i="7"/>
  <c r="V21" i="7"/>
  <c r="T21" i="7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V25" i="7"/>
  <c r="T25" i="7"/>
  <c r="V40" i="7"/>
  <c r="T40" i="7"/>
  <c r="V44" i="7"/>
  <c r="T44" i="7"/>
  <c r="V48" i="7"/>
  <c r="T48" i="7"/>
  <c r="V18" i="7"/>
  <c r="T18" i="7"/>
  <c r="V32" i="7"/>
  <c r="T32" i="7"/>
  <c r="V2" i="7"/>
  <c r="T2" i="7"/>
  <c r="BB4" i="29" s="1"/>
  <c r="BI4" i="29" s="1"/>
  <c r="V47" i="7"/>
  <c r="T47" i="7"/>
  <c r="V28" i="7"/>
  <c r="T28" i="7"/>
  <c r="V53" i="7"/>
  <c r="T53" i="7"/>
  <c r="V20" i="7"/>
  <c r="T20" i="7"/>
  <c r="V33" i="7"/>
  <c r="T33" i="7"/>
  <c r="V58" i="7"/>
  <c r="T58" i="7"/>
  <c r="V46" i="7"/>
  <c r="T46" i="7"/>
  <c r="V57" i="7"/>
  <c r="T57" i="7"/>
  <c r="V45" i="7"/>
  <c r="T45" i="7"/>
  <c r="V35" i="7"/>
  <c r="T35" i="7"/>
  <c r="V24" i="7"/>
  <c r="T24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V13" i="7"/>
  <c r="U13" i="7"/>
  <c r="V3" i="7"/>
  <c r="U3" i="7"/>
  <c r="R28" i="7"/>
  <c r="S28" i="7"/>
  <c r="U5" i="7"/>
  <c r="R21" i="7"/>
  <c r="S21" i="7"/>
  <c r="R24" i="7"/>
  <c r="S24" i="7"/>
  <c r="R20" i="7"/>
  <c r="S20" i="7"/>
  <c r="U39" i="7"/>
  <c r="R29" i="7"/>
  <c r="S29" i="7"/>
  <c r="U32" i="7"/>
  <c r="S25" i="7"/>
  <c r="R25" i="7"/>
  <c r="S14" i="7"/>
  <c r="R14" i="7"/>
  <c r="U2" i="7"/>
  <c r="BC4" i="29" s="1"/>
  <c r="U34" i="7"/>
  <c r="R37" i="7"/>
  <c r="S37" i="7"/>
  <c r="S18" i="7"/>
  <c r="R18" i="7"/>
  <c r="R13" i="7"/>
  <c r="S13" i="7"/>
  <c r="R27" i="7"/>
  <c r="S27" i="7"/>
  <c r="U33" i="7"/>
  <c r="U26" i="7"/>
  <c r="U6" i="7"/>
  <c r="R36" i="7"/>
  <c r="S36" i="7"/>
  <c r="R19" i="7"/>
  <c r="S19" i="7"/>
  <c r="U31" i="7"/>
  <c r="M30" i="7"/>
  <c r="BH31" i="29" l="1"/>
  <c r="AP6" i="29" s="1"/>
  <c r="AD22" i="29" s="1"/>
  <c r="AF22" i="29" s="1"/>
  <c r="AK21" i="29" s="1"/>
  <c r="AK25" i="29" s="1"/>
  <c r="C183" i="33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C185" i="33" l="1"/>
  <c r="T234" i="31"/>
  <c r="T272" i="31" s="1"/>
  <c r="X272" i="31" s="1"/>
  <c r="J142" i="31" s="1"/>
  <c r="C220" i="33" s="1"/>
  <c r="B83" i="30"/>
  <c r="F83" i="30" s="1"/>
  <c r="U66" i="7"/>
  <c r="AP5" i="29"/>
  <c r="AP4" i="29"/>
  <c r="AD20" i="29" s="1"/>
  <c r="AF20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D185" i="33" l="1"/>
  <c r="F84" i="30"/>
  <c r="C192" i="33" s="1"/>
  <c r="AK26" i="29"/>
  <c r="C184" i="33" s="1"/>
  <c r="X234" i="31"/>
  <c r="C307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D184" i="33" l="1"/>
  <c r="D183" i="33" s="1"/>
  <c r="AJ216" i="33" s="1"/>
  <c r="AN216" i="33" s="1"/>
  <c r="D220" i="33" s="1"/>
  <c r="C276" i="33"/>
  <c r="B115" i="30"/>
  <c r="B126" i="30" s="1"/>
  <c r="X237" i="31"/>
  <c r="C243" i="33" s="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R39" i="23" l="1"/>
  <c r="H93" i="23" s="1"/>
  <c r="H95" i="23" s="1"/>
  <c r="AK225" i="33"/>
  <c r="AO225" i="33" s="1"/>
  <c r="AO228" i="33" s="1"/>
  <c r="AR228" i="33" s="1"/>
  <c r="AS228" i="33" s="1"/>
  <c r="AT228" i="33" s="1"/>
  <c r="AW228" i="33" s="1"/>
  <c r="D240" i="33" s="1"/>
  <c r="D192" i="33"/>
  <c r="D235" i="33" s="1"/>
  <c r="D236" i="33" s="1"/>
  <c r="D243" i="33"/>
  <c r="C290" i="33"/>
  <c r="BR37" i="23"/>
  <c r="F93" i="23" s="1"/>
  <c r="F95" i="23" s="1"/>
  <c r="W172" i="18"/>
  <c r="W215" i="18" s="1"/>
  <c r="AB5" i="22" s="1"/>
  <c r="BN15" i="23" s="1"/>
  <c r="BN21" i="23" s="1"/>
  <c r="D276" i="33"/>
  <c r="D290" i="33" s="1"/>
  <c r="AA237" i="31"/>
  <c r="C244" i="3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244" i="33" l="1"/>
  <c r="D292" i="33"/>
  <c r="D294" i="33" s="1"/>
  <c r="AB237" i="31"/>
  <c r="AC237" i="31" s="1"/>
  <c r="AF237" i="31" s="1"/>
  <c r="B178" i="31" s="1"/>
  <c r="C240" i="33" s="1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161" i="33" l="1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C162" i="33" l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<sst xmlns="http://schemas.openxmlformats.org/spreadsheetml/2006/main" count="3098" uniqueCount="1464">
  <si>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</si>
  <si>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</si>
  <si>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</si>
  <si>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</si>
  <si>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</si>
  <si>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</si>
  <si>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</si>
  <si>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</si>
  <si>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</si>
  <si>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</si>
  <si>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</si>
  <si>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</si>
  <si>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</si>
  <si>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</si>
  <si>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</si>
  <si>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</si>
  <si>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</si>
  <si>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</si>
  <si>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</si>
  <si>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</si>
  <si>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</si>
  <si>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</si>
  <si>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</si>
  <si>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</si>
  <si>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</si>
  <si>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</si>
  <si>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</si>
  <si>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</si>
  <si>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</si>
  <si>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</si>
  <si>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</si>
  <si>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</si>
  <si>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</si>
  <si>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</si>
  <si>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</si>
  <si>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</si>
  <si>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</si>
  <si>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</si>
  <si>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</si>
  <si>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</si>
  <si>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</si>
  <si>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</si>
  <si>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</si>
  <si>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</si>
  <si>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</si>
  <si>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</si>
  <si>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</si>
  <si>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</si>
  <si>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</si>
  <si>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</si>
  <si>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</si>
  <si>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</si>
  <si>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</si>
  <si>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</si>
  <si>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</si>
  <si>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</si>
  <si>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</si>
  <si>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</si>
  <si>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</si>
  <si>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</si>
  <si>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</si>
  <si>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</si>
  <si>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</si>
  <si>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</si>
  <si>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</si>
  <si>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</si>
  <si>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</si>
  <si>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</si>
  <si>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</si>
  <si>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</si>
  <si>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</si>
  <si>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</si>
  <si>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</si>
  <si>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</si>
  <si>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</si>
  <si>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</si>
  <si>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</si>
  <si>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</si>
  <si>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</si>
  <si>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</si>
  <si>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</si>
  <si>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</si>
  <si>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</si>
  <si>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</si>
  <si>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</si>
  <si>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</si>
  <si>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</si>
  <si>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</si>
  <si>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</si>
  <si>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</si>
  <si>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</si>
  <si>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</si>
  <si>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</si>
  <si>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</si>
  <si>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</si>
  <si>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</si>
  <si>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</si>
  <si>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</si>
  <si>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</si>
  <si>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</si>
  <si>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</si>
  <si>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</si>
  <si>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</si>
  <si>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</si>
  <si>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</si>
  <si>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</si>
  <si>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</si>
  <si>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</si>
  <si>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</si>
  <si>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</si>
  <si>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</si>
  <si>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</si>
  <si>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</si>
  <si>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</si>
  <si>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</si>
  <si>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</si>
  <si>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</si>
  <si>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</si>
  <si>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</si>
  <si>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</si>
  <si>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</si>
  <si>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</si>
  <si>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</si>
  <si>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</si>
  <si>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</si>
  <si>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</si>
  <si>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</si>
  <si>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</si>
  <si>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</si>
  <si>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</si>
  <si>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</si>
  <si>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</si>
  <si>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</si>
  <si>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</si>
  <si>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</si>
  <si>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</si>
  <si>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</si>
  <si>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</si>
  <si>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</si>
  <si>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</si>
  <si>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</si>
  <si>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</si>
  <si>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</si>
  <si>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</si>
  <si>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</si>
  <si>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</si>
  <si>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</si>
  <si>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</si>
  <si>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</si>
  <si>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</si>
  <si>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</si>
  <si>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</si>
  <si>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</si>
  <si>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</si>
  <si>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</si>
  <si>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</si>
  <si>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</si>
  <si>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</si>
  <si>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</si>
  <si>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</si>
  <si>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</si>
  <si>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</si>
  <si>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</si>
  <si>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</si>
  <si>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</si>
  <si>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</si>
  <si>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</si>
  <si>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</si>
  <si>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</si>
  <si>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</si>
  <si>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</si>
  <si>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</si>
  <si>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</si>
  <si>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</si>
  <si>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</si>
  <si>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</si>
  <si>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</si>
  <si>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</si>
  <si>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</si>
  <si>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</si>
  <si>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</si>
  <si>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</si>
  <si>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</si>
  <si>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</si>
  <si>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</si>
  <si>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</si>
  <si>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</si>
  <si>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</si>
  <si>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</si>
  <si>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</si>
  <si>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</si>
  <si>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</si>
  <si>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</si>
  <si>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</si>
  <si>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</si>
  <si>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</si>
  <si>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</si>
  <si>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</si>
  <si>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</si>
  <si>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</si>
  <si>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</si>
  <si>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</si>
  <si>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</si>
  <si>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</si>
  <si>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</si>
  <si>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</si>
  <si>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</si>
  <si>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</si>
  <si>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</si>
  <si>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</si>
  <si>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</si>
  <si>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</si>
  <si>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</si>
  <si>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</si>
  <si>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</si>
  <si>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</si>
  <si>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</si>
  <si>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</si>
  <si>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</si>
  <si>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</si>
  <si>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</si>
  <si>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</si>
  <si>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</si>
  <si>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</si>
  <si>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</si>
  <si>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</si>
  <si>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</si>
  <si>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</si>
  <si>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</si>
  <si>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</si>
  <si>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</si>
  <si>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</si>
  <si>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</si>
  <si>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</si>
  <si>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</si>
  <si>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</si>
  <si>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</si>
  <si>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</si>
  <si>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</si>
  <si>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</si>
  <si>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</si>
  <si>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</si>
  <si>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</si>
  <si>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</si>
  <si>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</si>
  <si>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</si>
  <si>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</si>
  <si>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</si>
  <si>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</si>
  <si>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</si>
  <si>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</si>
  <si>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</si>
  <si>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</si>
  <si>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</si>
  <si>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</si>
  <si>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</si>
  <si>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</si>
  <si>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</si>
  <si>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</si>
  <si>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</si>
  <si>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</si>
  <si>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</si>
  <si>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</si>
  <si>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</si>
  <si>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</si>
  <si>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</si>
  <si>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</si>
  <si>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</si>
  <si>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</si>
  <si>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</si>
  <si>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</si>
  <si>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</si>
  <si>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</si>
  <si>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</si>
  <si>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</si>
  <si>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</si>
  <si>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</si>
  <si>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</si>
  <si>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</si>
  <si>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</si>
  <si>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</si>
  <si>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</si>
  <si>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</si>
  <si>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</si>
  <si>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</si>
  <si>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</si>
  <si>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</si>
  <si>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</si>
  <si>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</si>
  <si>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</si>
  <si>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</si>
  <si>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</si>
  <si>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</si>
  <si>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</si>
  <si>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</si>
  <si>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</si>
  <si>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</si>
  <si>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</si>
  <si>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</si>
  <si>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</si>
  <si>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</si>
  <si>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</si>
  <si>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</si>
  <si>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</si>
  <si>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</si>
  <si>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</si>
  <si>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</si>
  <si>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</si>
  <si>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</si>
  <si>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</si>
  <si>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</si>
  <si>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</si>
  <si>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</si>
  <si>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</si>
  <si>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</si>
  <si>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</si>
  <si>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</si>
  <si>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</si>
  <si>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</si>
  <si>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</si>
  <si>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</si>
  <si>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</si>
  <si>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</si>
  <si>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</si>
  <si>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</si>
  <si>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</si>
  <si>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</si>
  <si>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</si>
  <si>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</si>
  <si>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</si>
  <si>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</si>
  <si>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</si>
  <si>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</si>
  <si>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</si>
  <si>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</si>
  <si>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</si>
  <si>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</si>
  <si>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</si>
  <si>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</si>
  <si>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</si>
  <si>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</si>
  <si>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</si>
  <si>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</si>
  <si>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</si>
  <si>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</si>
  <si>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</si>
  <si>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</si>
  <si>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</si>
  <si>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</si>
  <si>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</si>
  <si>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</si>
  <si>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</si>
  <si>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</si>
  <si>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</si>
  <si>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</si>
  <si>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</si>
  <si>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</si>
  <si>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</si>
  <si>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</si>
  <si>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</si>
  <si>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</si>
  <si>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</si>
  <si>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</si>
  <si>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</si>
  <si>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</si>
  <si>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</si>
  <si>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</si>
  <si>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</si>
  <si>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</si>
  <si>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</si>
  <si>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</si>
  <si>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</si>
  <si>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</si>
  <si>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</si>
  <si>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</si>
  <si>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</si>
  <si>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</si>
  <si>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</si>
  <si>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</si>
  <si>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</si>
  <si>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</si>
  <si>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</si>
  <si>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</si>
  <si>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</si>
  <si>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</si>
  <si>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</si>
  <si>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</si>
  <si>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</si>
  <si>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</si>
  <si>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</si>
  <si>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</si>
  <si>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</si>
  <si>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</si>
  <si>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</si>
  <si>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</si>
  <si>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</si>
  <si>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</si>
  <si>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</si>
  <si>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</si>
  <si>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</si>
  <si>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</si>
  <si>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</si>
  <si>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</si>
  <si>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</si>
  <si>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</si>
  <si>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</si>
  <si>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</si>
  <si>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</si>
  <si>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</si>
  <si>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</si>
  <si>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</si>
  <si>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</si>
  <si>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</si>
  <si>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</si>
  <si>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</si>
  <si>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</si>
  <si>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</si>
  <si>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</si>
  <si>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</si>
  <si>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</si>
  <si>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</si>
  <si>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</si>
  <si>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</si>
  <si>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</si>
  <si>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</si>
  <si>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</si>
  <si>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</si>
  <si>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</si>
  <si>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</si>
  <si>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</si>
  <si>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</si>
  <si>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</si>
  <si>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</si>
  <si>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</si>
  <si>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</si>
  <si>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</si>
  <si>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</si>
  <si>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</si>
  <si>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</si>
  <si>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</si>
  <si>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</si>
  <si>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</si>
  <si>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</si>
  <si>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</si>
  <si>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</si>
  <si>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</si>
  <si>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</si>
  <si>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</si>
  <si>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</si>
  <si>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</si>
  <si>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</si>
  <si>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</si>
  <si>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</si>
  <si>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</si>
  <si>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</si>
  <si>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</si>
  <si>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</si>
  <si>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</si>
  <si>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</si>
  <si>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</si>
  <si>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</si>
  <si>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</si>
  <si>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</si>
  <si>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</si>
  <si>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</si>
  <si>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</si>
  <si>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</si>
  <si>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</si>
  <si>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</si>
  <si>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</si>
  <si>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</si>
  <si>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</si>
  <si>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</si>
  <si>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</si>
  <si>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</si>
  <si>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</si>
  <si>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</si>
  <si>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</si>
  <si>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</si>
  <si>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</si>
  <si>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</si>
  <si>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</si>
  <si>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</si>
  <si>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</si>
  <si>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</si>
  <si>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</si>
  <si>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</si>
  <si>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</si>
  <si>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</si>
  <si>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</si>
  <si>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</si>
  <si>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</si>
  <si>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</si>
  <si>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</si>
  <si>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</si>
  <si>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</si>
  <si>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</si>
  <si>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</si>
  <si>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</si>
  <si>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</si>
  <si>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</si>
  <si>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</si>
  <si>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</si>
  <si>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</si>
  <si>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</si>
  <si>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</si>
  <si>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</si>
  <si>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</si>
  <si>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</si>
  <si>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</si>
  <si>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</si>
  <si>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</si>
  <si>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</si>
  <si>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</si>
  <si>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</si>
  <si>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</si>
  <si>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</si>
  <si>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</si>
  <si>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</si>
  <si>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</si>
  <si>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</si>
  <si>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</si>
  <si>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</si>
  <si>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</si>
  <si>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</si>
  <si>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</si>
  <si>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</si>
  <si>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</si>
  <si>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</si>
  <si>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</si>
  <si>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</si>
  <si>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</si>
  <si>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</si>
  <si>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</si>
  <si>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</si>
  <si>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</si>
  <si>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</si>
  <si>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</si>
  <si>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</si>
  <si>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</si>
  <si>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</si>
  <si>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</si>
  <si>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</si>
  <si>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</si>
  <si>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</si>
  <si>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</si>
  <si>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</si>
  <si>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</si>
  <si>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</si>
  <si>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</si>
  <si>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</si>
  <si>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</si>
  <si>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</si>
  <si>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</si>
  <si>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</si>
  <si>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</si>
  <si>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</si>
  <si>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</si>
  <si>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</si>
  <si>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</si>
  <si>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</si>
  <si>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</si>
  <si>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</si>
  <si>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</si>
  <si>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</si>
  <si>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</si>
  <si>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</si>
  <si>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</si>
  <si>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</si>
  <si>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</si>
  <si>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</si>
  <si>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</si>
  <si>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</si>
  <si>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</si>
  <si>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</si>
  <si>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</si>
  <si>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</si>
  <si>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</si>
  <si>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</si>
  <si>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</si>
  <si>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</si>
  <si>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</si>
  <si>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</si>
  <si>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</si>
  <si>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</si>
  <si>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</si>
  <si>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</si>
  <si>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</si>
  <si>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</si>
  <si>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</si>
  <si>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</si>
  <si>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</si>
  <si>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</si>
  <si>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</si>
  <si>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</si>
  <si>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</si>
  <si>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</si>
  <si>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</si>
  <si>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</si>
  <si>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</si>
  <si>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</si>
  <si>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</si>
  <si>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</si>
  <si>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</si>
  <si>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</si>
  <si>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</si>
  <si>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</si>
  <si>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</si>
  <si>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</si>
  <si>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</si>
  <si>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</si>
  <si>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</si>
  <si>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</si>
  <si>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</si>
  <si>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</si>
  <si>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</si>
  <si>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</si>
  <si>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</si>
  <si>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</si>
  <si>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</si>
  <si>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</si>
  <si>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</si>
  <si>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</si>
  <si>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</si>
  <si>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</si>
  <si>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</si>
  <si>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</si>
  <si>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</si>
  <si>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</si>
  <si>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</si>
  <si>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</si>
  <si>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</si>
  <si>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</si>
  <si>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</si>
  <si>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</si>
  <si>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</si>
  <si>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</si>
  <si>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</si>
  <si>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</si>
  <si>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</si>
  <si>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</si>
  <si>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</si>
  <si>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</si>
  <si>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</si>
  <si>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</si>
  <si>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</si>
  <si>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</si>
  <si>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</si>
  <si>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</si>
  <si>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</si>
  <si>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</si>
  <si>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</si>
  <si>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</si>
  <si>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</si>
  <si>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</si>
  <si>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</si>
  <si>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</si>
  <si>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</si>
  <si>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</si>
  <si>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</si>
  <si>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</si>
  <si>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</si>
  <si>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</si>
  <si>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</si>
  <si>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</si>
  <si>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</si>
  <si>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</si>
  <si>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</si>
  <si>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</si>
  <si>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</si>
  <si>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</si>
  <si>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</si>
  <si>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</si>
  <si>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</si>
  <si>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</si>
  <si>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</si>
  <si>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</si>
  <si>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</si>
  <si>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</si>
  <si>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</si>
  <si>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</si>
  <si>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</si>
  <si>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</si>
  <si>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</si>
  <si>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</si>
  <si>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</si>
  <si>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</si>
  <si>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</si>
  <si>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</si>
  <si>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</si>
  <si>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</si>
  <si>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</si>
  <si>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</si>
  <si>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</si>
  <si>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</si>
  <si>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</si>
  <si>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</si>
  <si>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</si>
  <si>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</si>
  <si>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</si>
  <si>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</si>
  <si>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</si>
  <si>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</si>
  <si>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</si>
  <si>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</si>
  <si>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</si>
  <si>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</si>
  <si>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</si>
  <si>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</si>
  <si>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</si>
  <si>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</si>
  <si>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</si>
  <si>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</si>
  <si>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</si>
  <si>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</si>
  <si>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</si>
  <si>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</si>
  <si>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</si>
  <si>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</si>
  <si>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</si>
  <si>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</si>
  <si>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</si>
  <si>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</si>
  <si>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</si>
  <si>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</si>
  <si>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</si>
  <si>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</si>
  <si>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</si>
  <si>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</si>
  <si>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</si>
  <si>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</si>
  <si>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</si>
  <si>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</si>
  <si>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</si>
  <si>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</si>
  <si>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</si>
  <si>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</si>
  <si>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</si>
  <si>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</si>
  <si>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</si>
  <si>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</si>
  <si>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</si>
  <si>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</si>
  <si>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</si>
  <si>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</si>
  <si>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</si>
  <si>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</si>
  <si>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</si>
  <si>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</si>
  <si>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</si>
  <si>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</si>
  <si>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</si>
  <si>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</si>
  <si>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</si>
  <si>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</si>
  <si>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</si>
  <si>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</si>
  <si>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</si>
  <si>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</si>
  <si>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</si>
  <si>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</si>
  <si>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</si>
  <si>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</si>
  <si>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</si>
  <si>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</si>
  <si>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</si>
  <si>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</si>
  <si>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</si>
  <si>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</si>
  <si>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</si>
  <si>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</si>
  <si>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</si>
  <si>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</si>
  <si>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</si>
  <si>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</si>
  <si>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</si>
  <si>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</si>
  <si>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</si>
  <si>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</si>
  <si>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</si>
  <si>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</si>
  <si>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</si>
  <si>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</si>
  <si>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</si>
  <si>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</si>
  <si>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</si>
  <si>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</si>
  <si>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</si>
  <si>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</si>
  <si>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</si>
  <si>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</si>
  <si>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</si>
  <si>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</si>
  <si>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</si>
  <si>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</si>
  <si>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</si>
  <si>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</si>
  <si>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</si>
  <si>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</si>
  <si>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</si>
  <si>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</si>
  <si>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</si>
  <si>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</si>
  <si>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</si>
  <si>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</si>
  <si>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</si>
  <si>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</si>
  <si>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</si>
  <si>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</si>
  <si>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</si>
  <si>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</si>
  <si>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</si>
  <si>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</si>
  <si>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</si>
  <si>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</si>
  <si>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</si>
  <si>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</si>
  <si>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</si>
  <si>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</si>
  <si>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</si>
  <si>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</si>
  <si>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</si>
  <si>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</si>
  <si>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</si>
  <si>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</si>
  <si>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</si>
  <si>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</si>
  <si>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</si>
  <si>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</si>
  <si>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</si>
  <si>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</si>
  <si>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</si>
  <si>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</si>
  <si>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</si>
  <si>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</si>
  <si>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</si>
  <si>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</si>
  <si>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</si>
  <si>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</si>
  <si>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</si>
  <si>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</si>
  <si>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</si>
  <si>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</si>
  <si>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</si>
  <si>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</si>
  <si>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</si>
  <si>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</si>
  <si>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</si>
  <si>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</si>
  <si>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</si>
  <si>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</si>
  <si>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</si>
  <si>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</si>
  <si>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</si>
  <si>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</si>
  <si>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</si>
  <si>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</si>
  <si>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</si>
  <si>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</si>
  <si>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</si>
  <si>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</si>
  <si>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</si>
  <si>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</si>
  <si>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</si>
  <si>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</si>
  <si>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</si>
  <si>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</si>
  <si>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</si>
  <si>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</si>
  <si>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</si>
  <si>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</si>
  <si>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</si>
  <si>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</si>
  <si>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</si>
  <si>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</si>
  <si>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</si>
  <si>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</si>
  <si>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</si>
  <si>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</si>
  <si>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</si>
  <si>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</si>
  <si>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</si>
  <si>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</si>
  <si>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</si>
  <si>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</si>
  <si>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</si>
  <si>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</si>
  <si>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</si>
  <si>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</si>
  <si>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</si>
  <si>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</si>
  <si>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</si>
  <si>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</si>
  <si>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</si>
  <si>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</si>
  <si>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</si>
  <si>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</si>
  <si>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</si>
  <si>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</si>
  <si>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</si>
  <si>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</si>
  <si>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</si>
  <si>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</si>
  <si>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</si>
  <si>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</si>
  <si>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</si>
  <si>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</si>
  <si>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</si>
  <si>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</si>
  <si>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</si>
  <si>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</si>
  <si>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</si>
  <si>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</si>
  <si>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</si>
  <si>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</si>
  <si>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</si>
  <si>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</si>
  <si>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</si>
  <si>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</si>
  <si>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</si>
  <si>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</si>
  <si>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</si>
  <si>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</si>
  <si>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</si>
  <si>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</si>
  <si>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</si>
  <si>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</si>
  <si>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</si>
  <si>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</si>
  <si>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</si>
  <si>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</si>
  <si>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</si>
  <si>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</si>
  <si>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</si>
  <si>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</si>
  <si>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</si>
  <si>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</si>
  <si>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</si>
  <si>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</si>
  <si>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</si>
  <si>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</si>
  <si>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</si>
  <si>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</si>
  <si>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</si>
  <si>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</si>
  <si>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</si>
  <si>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</si>
  <si>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</si>
  <si>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</si>
  <si>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</si>
  <si>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</si>
  <si>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</si>
  <si>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</si>
  <si>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</si>
  <si>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</si>
  <si>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</si>
  <si>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</si>
  <si>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</si>
  <si>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</si>
  <si>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</si>
  <si>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</si>
  <si>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</si>
  <si>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</si>
  <si>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</si>
  <si>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</si>
  <si>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</si>
  <si>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</si>
  <si>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</si>
  <si>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</si>
  <si>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</si>
  <si>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</si>
  <si>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</si>
  <si>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</si>
  <si>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</si>
  <si>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</si>
  <si>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</si>
  <si>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</si>
  <si>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</si>
  <si>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</si>
  <si>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</si>
  <si>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</si>
  <si>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</si>
  <si>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</si>
  <si>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</si>
  <si>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</si>
  <si>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</si>
  <si>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</si>
  <si>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</si>
  <si>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</si>
  <si>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</si>
  <si>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</si>
  <si>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</si>
  <si>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</si>
  <si>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</si>
  <si>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</si>
  <si>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</si>
  <si>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</si>
  <si>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</si>
  <si>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</si>
  <si>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</si>
  <si>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</si>
  <si>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</si>
  <si>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</si>
  <si>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</si>
  <si>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</si>
  <si>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</si>
  <si>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</si>
  <si>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</si>
  <si>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</si>
  <si>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</si>
  <si>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</si>
  <si>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</si>
  <si>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</si>
  <si>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</si>
  <si>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</si>
  <si>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</si>
  <si>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</si>
  <si>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</si>
  <si>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</si>
  <si>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</si>
  <si>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</si>
  <si>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</si>
  <si>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</si>
  <si>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</si>
  <si>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</si>
  <si>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</si>
  <si>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</si>
  <si>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</si>
  <si>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</si>
  <si>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</si>
  <si>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</si>
  <si>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</si>
  <si>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</si>
  <si>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</si>
  <si>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</si>
  <si>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</si>
  <si>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</si>
  <si>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</si>
  <si>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</si>
  <si>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</si>
  <si>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</si>
  <si>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</si>
  <si>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</si>
  <si>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</si>
  <si>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</si>
  <si>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</si>
  <si>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</si>
  <si>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</si>
  <si>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</si>
  <si>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</si>
  <si>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</si>
  <si>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</si>
  <si>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</si>
  <si>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</si>
  <si>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</si>
  <si>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</si>
  <si>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</si>
  <si>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</si>
  <si>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</si>
  <si>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</si>
  <si>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</si>
  <si>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</si>
  <si>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</si>
  <si>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</si>
  <si>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</si>
  <si>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</si>
  <si>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</si>
  <si>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</si>
  <si>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</si>
  <si>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</si>
  <si>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</si>
  <si>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</si>
  <si>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</si>
  <si>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</si>
  <si>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</si>
  <si>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</si>
  <si>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</si>
  <si>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</si>
  <si>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</si>
  <si>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</si>
  <si>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</si>
  <si>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</si>
  <si>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</si>
  <si>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</si>
  <si>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</si>
  <si>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</si>
  <si>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</si>
  <si>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</si>
  <si>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</si>
  <si>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</si>
  <si>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</si>
  <si>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</si>
  <si>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</si>
  <si>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</si>
  <si>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</si>
  <si>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</si>
  <si>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</si>
  <si>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</si>
  <si>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</si>
  <si>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</si>
  <si>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</si>
  <si>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</si>
  <si>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</si>
  <si>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</si>
  <si>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</si>
  <si>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</si>
  <si>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</si>
  <si>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</si>
  <si>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</si>
  <si>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</si>
  <si>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</si>
  <si>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</si>
  <si>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</si>
  <si>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</si>
  <si>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</si>
  <si>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</si>
  <si>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</si>
  <si>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</si>
  <si>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</si>
  <si>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</si>
  <si>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</si>
  <si>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</si>
  <si>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</si>
  <si>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</si>
  <si>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</si>
  <si>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</si>
  <si>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</si>
  <si>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</si>
  <si>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</si>
  <si>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</si>
  <si>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</si>
  <si>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</si>
  <si>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</si>
  <si>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</si>
  <si>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</si>
  <si>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</si>
  <si>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</si>
  <si>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</si>
  <si>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</si>
  <si>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</si>
  <si>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</si>
  <si>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</si>
  <si>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</si>
  <si>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</si>
  <si>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</si>
  <si>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</si>
  <si>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</si>
  <si>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</si>
  <si>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</si>
  <si>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</si>
  <si>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</si>
  <si>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</si>
  <si>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</si>
  <si>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</si>
  <si>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</si>
  <si>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</si>
  <si>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</si>
  <si>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</si>
  <si>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</si>
  <si>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</si>
  <si>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</si>
  <si>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</si>
  <si>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</si>
  <si>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</si>
  <si>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</si>
  <si>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</si>
  <si>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</si>
  <si>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</si>
  <si>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</si>
  <si>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</si>
  <si>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</si>
  <si>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</si>
  <si>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</si>
  <si>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</si>
  <si>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</si>
  <si>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</si>
  <si>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</si>
  <si>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</si>
  <si>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</si>
  <si>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</si>
  <si>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</si>
  <si>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</si>
  <si>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</si>
  <si>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</si>
  <si>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</si>
  <si>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</si>
  <si>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</si>
  <si>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</si>
  <si>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</si>
  <si>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</si>
  <si>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</si>
  <si>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</si>
  <si>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</si>
  <si>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</si>
  <si>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</si>
  <si>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</si>
  <si>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</si>
  <si>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</si>
  <si>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</si>
  <si>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</si>
  <si>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</si>
  <si>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</si>
  <si>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</si>
  <si>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</si>
  <si>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</si>
  <si>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</si>
  <si>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</si>
  <si>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</si>
  <si>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</si>
  <si>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</si>
  <si>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</si>
  <si>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</si>
  <si>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</si>
  <si>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</si>
  <si>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</si>
  <si>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</si>
  <si>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</si>
  <si>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</si>
  <si>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</si>
  <si>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</si>
  <si>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</si>
  <si>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</si>
  <si>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</si>
  <si>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</si>
  <si>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</si>
  <si>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</si>
  <si>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</si>
  <si>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</si>
  <si>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</si>
  <si>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</si>
  <si>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</si>
  <si>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</si>
  <si>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</si>
  <si>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</si>
  <si>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</si>
  <si>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</si>
  <si>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</si>
  <si>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</si>
  <si>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</si>
  <si>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</si>
  <si>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</si>
  <si>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</si>
  <si>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</si>
  <si>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</si>
  <si>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</si>
  <si>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</si>
  <si>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</si>
  <si>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</si>
  <si>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</si>
  <si>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</si>
  <si>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</si>
  <si>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</si>
  <si>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</si>
  <si>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</si>
  <si>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</si>
  <si>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</si>
  <si>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</si>
  <si>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</si>
  <si>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</si>
  <si>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</si>
  <si>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</si>
  <si>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</si>
  <si>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</si>
  <si>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</si>
  <si>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</si>
  <si>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</si>
  <si>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</si>
  <si>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</si>
  <si>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</si>
  <si>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</si>
  <si>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</si>
  <si>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</si>
  <si>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</si>
  <si>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</si>
  <si>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</si>
  <si>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</si>
  <si>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</si>
  <si>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</si>
  <si>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</si>
  <si>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</si>
  <si>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</si>
  <si>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</si>
  <si>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</si>
  <si>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</si>
  <si>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</si>
  <si>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</si>
  <si>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</si>
  <si>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</si>
  <si>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</si>
  <si>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</si>
  <si>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</si>
  <si>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</si>
  <si>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</si>
  <si>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</si>
  <si>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</si>
  <si>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</si>
  <si>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</si>
  <si>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</si>
  <si>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</si>
  <si>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</si>
  <si>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</si>
  <si>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</si>
  <si>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</si>
  <si>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</si>
  <si>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</si>
  <si>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</si>
  <si>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</si>
  <si>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</si>
  <si>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</si>
  <si>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</si>
  <si>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</si>
  <si>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</si>
  <si>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</si>
  <si>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</si>
  <si>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</si>
  <si>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</si>
  <si>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</si>
  <si>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</si>
  <si>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</si>
  <si>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</si>
  <si>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</si>
  <si>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</si>
  <si>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</si>
  <si>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</si>
  <si>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</si>
  <si>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</si>
  <si>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</si>
  <si>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</si>
  <si>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</si>
  <si>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</si>
  <si>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</si>
  <si>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</si>
  <si>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</si>
  <si>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</si>
  <si>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</si>
  <si>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</si>
  <si>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</si>
  <si>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</si>
  <si>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</si>
  <si>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</si>
  <si>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</si>
  <si>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</si>
  <si>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</si>
  <si>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</si>
  <si>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</si>
  <si>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</si>
  <si>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</si>
  <si>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</si>
  <si>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</si>
  <si>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</si>
  <si>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</si>
  <si>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</si>
  <si>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</si>
  <si>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</si>
  <si>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</si>
  <si>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</si>
  <si>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</si>
  <si>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</si>
  <si>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</si>
  <si>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</si>
  <si>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</si>
  <si>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</si>
  <si>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</si>
  <si>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</si>
  <si>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</si>
  <si>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</si>
  <si>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</si>
  <si>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</si>
  <si>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</si>
  <si>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</si>
  <si>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</si>
  <si>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</si>
  <si>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</si>
  <si>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</si>
  <si>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</si>
  <si>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</si>
  <si>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</si>
  <si>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</si>
  <si>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</si>
  <si>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</si>
  <si>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</si>
  <si>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</si>
  <si>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</si>
  <si>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</si>
  <si>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</si>
  <si>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</si>
  <si>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</si>
  <si>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</si>
  <si>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</si>
  <si>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</si>
  <si>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</si>
  <si>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</si>
  <si>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</si>
  <si>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</si>
  <si>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</si>
  <si>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</si>
  <si>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</si>
  <si>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</si>
  <si>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</si>
  <si>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</si>
  <si>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</si>
  <si>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</si>
  <si>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</si>
  <si>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</si>
  <si>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</si>
  <si>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</si>
  <si>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</si>
  <si>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</si>
  <si>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</si>
  <si>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</si>
  <si>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</si>
  <si>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</si>
  <si>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</si>
  <si>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</si>
  <si>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</si>
  <si>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</si>
  <si>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</si>
  <si>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</si>
  <si>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</si>
  <si>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</si>
  <si>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</si>
  <si>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</si>
  <si>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</si>
  <si>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</si>
  <si>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</si>
  <si>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</si>
  <si>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</si>
  <si>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</si>
  <si>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</si>
  <si>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</si>
  <si>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</si>
  <si>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</si>
  <si>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</si>
  <si>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</si>
  <si>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</si>
  <si>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</si>
  <si>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</si>
  <si>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</si>
  <si>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</si>
  <si>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</si>
  <si>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</si>
  <si>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</si>
  <si>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</si>
  <si>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</si>
  <si>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</si>
  <si>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</si>
  <si>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</si>
  <si>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</si>
  <si>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</si>
  <si>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</si>
  <si>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</si>
  <si>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</si>
  <si>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</si>
  <si>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</si>
  <si>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</si>
  <si>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</si>
  <si>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</si>
  <si>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</si>
  <si>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</si>
  <si>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</si>
  <si>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</si>
  <si>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</si>
  <si>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</si>
  <si>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Z1_OLBV_T3PT_SCsi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</si>
</sst>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3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45" zoomScale="80" zoomScaleNormal="80" workbookViewId="0">
      <selection activeCell="K64" sqref="K6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1.5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0</v>
      </c>
      <c r="U25" s="173">
        <f>Alim_Surf!E35</f>
        <v>0</v>
      </c>
      <c r="V25" s="173">
        <f>IF(T25=0,0,VLOOKUP(T25,[1]Cult!$A$7:$H$76,8))</f>
        <v>0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23.5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16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0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5</v>
      </c>
    </row>
    <row r="41" spans="10:29" x14ac:dyDescent="0.25">
      <c r="J41" s="14" t="s">
        <v>564</v>
      </c>
      <c r="K41" s="173">
        <f>AD228</f>
        <v>23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2.35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36</v>
      </c>
    </row>
    <row r="56" spans="10:16" x14ac:dyDescent="0.25">
      <c r="J56" s="14" t="s">
        <v>571</v>
      </c>
      <c r="K56" s="174">
        <v>5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578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1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>
        <v>4</v>
      </c>
      <c r="P61" t="s">
        <v>583</v>
      </c>
    </row>
    <row r="62" spans="10:16" x14ac:dyDescent="0.25">
      <c r="J62" s="14" t="s">
        <v>584</v>
      </c>
      <c r="K62" s="80">
        <v>12</v>
      </c>
    </row>
    <row r="63" spans="10:16" x14ac:dyDescent="0.25">
      <c r="J63"/>
      <c r="K63" s="80">
        <v>1</v>
      </c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48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48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/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/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/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266</v>
      </c>
      <c r="S164" s="173">
        <f>Alim_Surf!R7</f>
        <v>1.7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1.7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1.7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241</v>
      </c>
      <c r="S165" s="173">
        <f>Alim_Surf!R8</f>
        <v>11</v>
      </c>
      <c r="T165" s="173">
        <f>VLOOKUP(R165,[1]MEP!$A$4:$M$300,13)</f>
        <v>2</v>
      </c>
      <c r="U165" s="173">
        <f t="shared" ref="U165:U207" si="10">IF($T165&gt;0,$S165,0)</f>
        <v>11</v>
      </c>
      <c r="V165" s="173">
        <f t="shared" ref="V165:V207" si="11">IF($T165&gt;1,$S165,0)</f>
        <v>11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11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11</v>
      </c>
      <c r="AL165" s="5"/>
      <c r="AN165" s="32" t="s">
        <v>659</v>
      </c>
      <c r="AO165" s="173">
        <f>SUM(AD164:AD183)</f>
        <v>18.7</v>
      </c>
    </row>
    <row r="166" spans="17:41" x14ac:dyDescent="0.25">
      <c r="Q166">
        <v>3</v>
      </c>
      <c r="R166" s="173">
        <f>Alim_Surf!Q9</f>
        <v>290</v>
      </c>
      <c r="S166" s="173">
        <f>Alim_Surf!R9</f>
        <v>1</v>
      </c>
      <c r="T166" s="173">
        <f>VLOOKUP(R166,[1]MEP!$A$4:$M$300,13)</f>
        <v>1</v>
      </c>
      <c r="U166" s="173">
        <f t="shared" si="10"/>
        <v>1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1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1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10"/>
        <v>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0</v>
      </c>
      <c r="S168" s="173">
        <f>Alim_Surf!R11</f>
        <v>0</v>
      </c>
      <c r="T168" s="173">
        <f>VLOOKUP(R168,[1]MEP!$A$4:$M$300,13)</f>
        <v>0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4.3</v>
      </c>
    </row>
    <row r="169" spans="17:41" x14ac:dyDescent="0.25"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239</v>
      </c>
      <c r="S186" s="173">
        <f>Alim_Surf!R29</f>
        <v>2.8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2.8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2.8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1.5</v>
      </c>
      <c r="T187" s="173">
        <f>VLOOKUP(R187,[1]MEP!$A$4:$M$300,13)</f>
        <v>1</v>
      </c>
      <c r="U187" s="173">
        <f t="shared" si="10"/>
        <v>1.5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1.5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1.5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8"/>
        <v>0</v>
      </c>
      <c r="AB188" s="173">
        <f t="shared" si="9"/>
        <v>0</v>
      </c>
      <c r="AC188" s="173">
        <f t="shared" si="13"/>
        <v>5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5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</v>
      </c>
      <c r="U228" s="62">
        <f>SUM(U164:U227)</f>
        <v>23.5</v>
      </c>
      <c r="V228" s="62">
        <f t="shared" ref="V228:W228" si="22">SUM(V164:V227)</f>
        <v>16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4.5</v>
      </c>
      <c r="AI228" s="62">
        <f t="shared" si="24"/>
        <v>7.5</v>
      </c>
      <c r="AJ228" s="62">
        <f t="shared" si="24"/>
        <v>11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3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1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1141</v>
      </c>
      <c r="AQ3">
        <f>BJ31</f>
        <v>11.1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2</v>
      </c>
      <c r="D4" s="177">
        <f t="shared" ref="D4:Z4" si="1">COUNTIF(D81:D90,2)</f>
        <v>2</v>
      </c>
      <c r="E4" s="177">
        <f t="shared" si="1"/>
        <v>2</v>
      </c>
      <c r="F4" s="177">
        <f t="shared" si="1"/>
        <v>2</v>
      </c>
      <c r="G4" s="177">
        <f t="shared" si="1"/>
        <v>1</v>
      </c>
      <c r="H4" s="177">
        <f t="shared" si="1"/>
        <v>1</v>
      </c>
      <c r="I4" s="177">
        <f t="shared" si="1"/>
        <v>1</v>
      </c>
      <c r="J4" s="177">
        <f t="shared" si="1"/>
        <v>1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1</v>
      </c>
      <c r="W4" s="177">
        <f t="shared" si="1"/>
        <v>1</v>
      </c>
      <c r="X4" s="177">
        <f t="shared" si="1"/>
        <v>1</v>
      </c>
      <c r="Y4" s="177">
        <f t="shared" si="1"/>
        <v>1</v>
      </c>
      <c r="Z4" s="177">
        <f t="shared" si="1"/>
        <v>2</v>
      </c>
      <c r="AB4" s="32"/>
      <c r="AC4" s="5"/>
      <c r="AD4" s="276"/>
      <c r="AE4" s="276"/>
      <c r="AF4" s="276"/>
      <c r="AO4" s="14" t="s">
        <v>683</v>
      </c>
      <c r="AP4" s="30">
        <f>SUM(BG31:BI31)</f>
        <v>8224</v>
      </c>
      <c r="AQ4">
        <f>SUM(BJ31:BL31)</f>
        <v>39.099999999999994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1</v>
      </c>
      <c r="H5" s="177">
        <f t="shared" si="9"/>
        <v>1</v>
      </c>
      <c r="I5" s="177">
        <f t="shared" si="9"/>
        <v>1</v>
      </c>
      <c r="J5" s="177">
        <f t="shared" si="9"/>
        <v>1</v>
      </c>
      <c r="K5" s="177">
        <f t="shared" si="9"/>
        <v>1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1</v>
      </c>
      <c r="W5" s="177">
        <f t="shared" si="9"/>
        <v>1</v>
      </c>
      <c r="X5" s="177">
        <f t="shared" si="9"/>
        <v>1</v>
      </c>
      <c r="Y5" s="177">
        <f t="shared" si="9"/>
        <v>1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9</v>
      </c>
      <c r="AO5" s="14" t="s">
        <v>685</v>
      </c>
      <c r="AP5" s="30">
        <f>BI31</f>
        <v>2766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332</v>
      </c>
      <c r="BC5" s="30">
        <f>ROUND(Parcellaire!U3,0)</f>
        <v>221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332</v>
      </c>
      <c r="BJ5" s="173">
        <f t="shared" si="6"/>
        <v>0</v>
      </c>
      <c r="BK5" s="173">
        <f t="shared" si="7"/>
        <v>0</v>
      </c>
      <c r="BL5" s="173">
        <f t="shared" si="8"/>
        <v>0.9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1</v>
      </c>
      <c r="O7" s="177">
        <f t="shared" si="13"/>
        <v>1</v>
      </c>
      <c r="P7" s="177">
        <f t="shared" si="13"/>
        <v>1</v>
      </c>
      <c r="Q7" s="177">
        <f t="shared" si="13"/>
        <v>1</v>
      </c>
      <c r="R7" s="177">
        <f t="shared" si="13"/>
        <v>1</v>
      </c>
      <c r="S7" s="177">
        <f t="shared" si="13"/>
        <v>1</v>
      </c>
      <c r="T7" s="177">
        <f t="shared" si="13"/>
        <v>1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3792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4</v>
      </c>
      <c r="D8" s="177">
        <f>(D3+D4)*[1]Protect!$B$12</f>
        <v>4</v>
      </c>
      <c r="E8" s="177">
        <f>(E3+E4)*[1]Protect!$B$12</f>
        <v>6</v>
      </c>
      <c r="F8" s="177">
        <f>(F3+F4)*[1]Protect!$B$12</f>
        <v>8</v>
      </c>
      <c r="G8" s="177">
        <f>(G3+G4)*[1]Protect!$B$12</f>
        <v>6</v>
      </c>
      <c r="H8" s="177">
        <f>(H3+H4)*[1]Protect!$B$12</f>
        <v>6</v>
      </c>
      <c r="I8" s="177">
        <f>(I3+I4)*[1]Protect!$B$12</f>
        <v>6</v>
      </c>
      <c r="J8" s="177">
        <f>(J3+J4)*[1]Protect!$B$12</f>
        <v>6</v>
      </c>
      <c r="K8" s="177">
        <f>(K3+K4)*[1]Protect!$B$12</f>
        <v>6</v>
      </c>
      <c r="L8" s="177">
        <f>(L3+L4)*[1]Protect!$B$12</f>
        <v>4</v>
      </c>
      <c r="M8" s="177">
        <f>(M3+M4)*[1]Protect!$B$12</f>
        <v>4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4</v>
      </c>
      <c r="V8" s="177">
        <f>(V3+V4)*[1]Protect!$B$12</f>
        <v>4</v>
      </c>
      <c r="W8" s="177">
        <f>(W3+W4)*[1]Protect!$B$12</f>
        <v>2</v>
      </c>
      <c r="X8" s="177">
        <f>(X3+X4)*[1]Protect!$B$12</f>
        <v>2</v>
      </c>
      <c r="Y8" s="177">
        <f>(Y3+Y4)*[1]Protect!$B$12</f>
        <v>2</v>
      </c>
      <c r="Z8" s="177">
        <f>(Z3+Z4)*[1]Protect!$B$12</f>
        <v>4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367</v>
      </c>
      <c r="BC8" s="30">
        <f>ROUND(Parcellaire!U6,0)</f>
        <v>245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367</v>
      </c>
      <c r="BJ8" s="173">
        <f t="shared" si="6"/>
        <v>0</v>
      </c>
      <c r="BK8" s="173">
        <f t="shared" si="7"/>
        <v>0</v>
      </c>
      <c r="BL8" s="173">
        <f t="shared" si="8"/>
        <v>1.1000000000000001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3</v>
      </c>
      <c r="H9" s="177">
        <f>H5*[1]Protect!$B$13</f>
        <v>3</v>
      </c>
      <c r="I9" s="177">
        <f>I5*[1]Protect!$B$13</f>
        <v>3</v>
      </c>
      <c r="J9" s="177">
        <f>J5*[1]Protect!$B$13</f>
        <v>3</v>
      </c>
      <c r="K9" s="177">
        <f>K5*[1]Protect!$B$13</f>
        <v>3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3</v>
      </c>
      <c r="W9" s="177">
        <f>W5*[1]Protect!$B$13</f>
        <v>3</v>
      </c>
      <c r="X9" s="177">
        <f>X5*[1]Protect!$B$13</f>
        <v>3</v>
      </c>
      <c r="Y9" s="177">
        <f>Y5*[1]Protect!$B$13</f>
        <v>3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429</v>
      </c>
      <c r="BC9" s="30">
        <f>ROUND(Parcellaire!U7,0)</f>
        <v>286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429</v>
      </c>
      <c r="BJ9" s="173">
        <f t="shared" si="6"/>
        <v>0</v>
      </c>
      <c r="BK9" s="173">
        <f t="shared" si="7"/>
        <v>0</v>
      </c>
      <c r="BL9" s="173">
        <f t="shared" si="8"/>
        <v>1.5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4</v>
      </c>
      <c r="D11" s="177">
        <f t="shared" ref="D11:Z11" si="14">SUM(D8:D10)</f>
        <v>4</v>
      </c>
      <c r="E11" s="177">
        <f t="shared" si="14"/>
        <v>6</v>
      </c>
      <c r="F11" s="177">
        <f t="shared" si="14"/>
        <v>8</v>
      </c>
      <c r="G11" s="177">
        <f t="shared" si="14"/>
        <v>9</v>
      </c>
      <c r="H11" s="177">
        <f t="shared" si="14"/>
        <v>9</v>
      </c>
      <c r="I11" s="177">
        <f t="shared" si="14"/>
        <v>9</v>
      </c>
      <c r="J11" s="177">
        <f t="shared" si="14"/>
        <v>9</v>
      </c>
      <c r="K11" s="177">
        <f t="shared" si="14"/>
        <v>9</v>
      </c>
      <c r="L11" s="177">
        <f t="shared" si="14"/>
        <v>4</v>
      </c>
      <c r="M11" s="177">
        <f t="shared" si="14"/>
        <v>4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4</v>
      </c>
      <c r="V11" s="177">
        <f t="shared" si="14"/>
        <v>7</v>
      </c>
      <c r="W11" s="177">
        <f t="shared" si="14"/>
        <v>5</v>
      </c>
      <c r="X11" s="177">
        <f t="shared" si="14"/>
        <v>5</v>
      </c>
      <c r="Y11" s="177">
        <f t="shared" si="14"/>
        <v>5</v>
      </c>
      <c r="Z11" s="177">
        <f t="shared" si="14"/>
        <v>4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4</v>
      </c>
      <c r="O12" s="177">
        <f>O7*[1]Protect!$B$15</f>
        <v>4</v>
      </c>
      <c r="P12" s="177">
        <f>P7*[1]Protect!$B$15</f>
        <v>4</v>
      </c>
      <c r="Q12" s="177">
        <f>Q7*[1]Protect!$B$15</f>
        <v>4</v>
      </c>
      <c r="R12" s="177">
        <f>R7*[1]Protect!$B$15</f>
        <v>4</v>
      </c>
      <c r="S12" s="177">
        <f>S7*[1]Protect!$B$15</f>
        <v>4</v>
      </c>
      <c r="T12" s="177">
        <f>T7*[1]Protect!$B$15</f>
        <v>4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4</v>
      </c>
      <c r="D13" s="177">
        <f t="shared" ref="D13:Z13" si="15">D11+D12</f>
        <v>4</v>
      </c>
      <c r="E13" s="177">
        <f t="shared" si="15"/>
        <v>6</v>
      </c>
      <c r="F13" s="177">
        <f t="shared" si="15"/>
        <v>8</v>
      </c>
      <c r="G13" s="177">
        <f t="shared" si="15"/>
        <v>9</v>
      </c>
      <c r="H13" s="177">
        <f t="shared" si="15"/>
        <v>9</v>
      </c>
      <c r="I13" s="177">
        <f t="shared" si="15"/>
        <v>9</v>
      </c>
      <c r="J13" s="177">
        <f t="shared" si="15"/>
        <v>9</v>
      </c>
      <c r="K13" s="177">
        <f t="shared" si="15"/>
        <v>9</v>
      </c>
      <c r="L13" s="177">
        <f t="shared" si="15"/>
        <v>4</v>
      </c>
      <c r="M13" s="177">
        <f t="shared" si="15"/>
        <v>4</v>
      </c>
      <c r="N13" s="177">
        <f t="shared" si="15"/>
        <v>6</v>
      </c>
      <c r="O13" s="177">
        <f t="shared" si="15"/>
        <v>6</v>
      </c>
      <c r="P13" s="177">
        <f t="shared" si="15"/>
        <v>6</v>
      </c>
      <c r="Q13" s="177">
        <f t="shared" si="15"/>
        <v>6</v>
      </c>
      <c r="R13" s="177">
        <f t="shared" si="15"/>
        <v>6</v>
      </c>
      <c r="S13" s="177">
        <f t="shared" si="15"/>
        <v>6</v>
      </c>
      <c r="T13" s="177">
        <f t="shared" si="15"/>
        <v>6</v>
      </c>
      <c r="U13" s="177">
        <f t="shared" si="15"/>
        <v>4</v>
      </c>
      <c r="V13" s="177">
        <f t="shared" si="15"/>
        <v>7</v>
      </c>
      <c r="W13" s="177">
        <f t="shared" si="15"/>
        <v>5</v>
      </c>
      <c r="X13" s="177">
        <f t="shared" si="15"/>
        <v>5</v>
      </c>
      <c r="Y13" s="177">
        <f t="shared" si="15"/>
        <v>5</v>
      </c>
      <c r="Z13" s="177">
        <f t="shared" si="15"/>
        <v>4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2</v>
      </c>
      <c r="D15" s="173">
        <f t="shared" si="16"/>
        <v>2</v>
      </c>
      <c r="E15" s="173">
        <f t="shared" si="16"/>
        <v>2</v>
      </c>
      <c r="F15" s="173">
        <f t="shared" si="16"/>
        <v>2</v>
      </c>
      <c r="G15" s="173">
        <f t="shared" si="16"/>
        <v>2</v>
      </c>
      <c r="H15" s="173">
        <f t="shared" si="16"/>
        <v>2</v>
      </c>
      <c r="I15" s="173">
        <f t="shared" si="16"/>
        <v>2</v>
      </c>
      <c r="J15" s="173">
        <f t="shared" si="16"/>
        <v>2</v>
      </c>
      <c r="K15" s="173">
        <f t="shared" si="16"/>
        <v>2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2</v>
      </c>
      <c r="W15" s="173">
        <f t="shared" si="16"/>
        <v>2</v>
      </c>
      <c r="X15" s="173">
        <f t="shared" si="16"/>
        <v>2</v>
      </c>
      <c r="Y15" s="173">
        <f t="shared" si="16"/>
        <v>2</v>
      </c>
      <c r="Z15" s="173">
        <f t="shared" si="16"/>
        <v>2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2</v>
      </c>
      <c r="D16" s="173">
        <f t="shared" si="17"/>
        <v>2</v>
      </c>
      <c r="E16" s="173">
        <f t="shared" si="17"/>
        <v>2</v>
      </c>
      <c r="F16" s="173">
        <f t="shared" si="17"/>
        <v>1</v>
      </c>
      <c r="G16" s="173">
        <f t="shared" si="17"/>
        <v>1</v>
      </c>
      <c r="H16" s="173">
        <f t="shared" si="17"/>
        <v>0</v>
      </c>
      <c r="I16" s="173">
        <f t="shared" si="17"/>
        <v>0</v>
      </c>
      <c r="J16" s="173">
        <f t="shared" si="17"/>
        <v>0</v>
      </c>
      <c r="K16" s="173">
        <f t="shared" si="17"/>
        <v>0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0</v>
      </c>
      <c r="W16" s="173">
        <f t="shared" si="17"/>
        <v>1</v>
      </c>
      <c r="X16" s="173">
        <f t="shared" si="17"/>
        <v>2</v>
      </c>
      <c r="Y16" s="173">
        <f t="shared" si="17"/>
        <v>2</v>
      </c>
      <c r="Z16" s="173">
        <f t="shared" si="17"/>
        <v>2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1</v>
      </c>
      <c r="G17" s="173">
        <f t="shared" si="18"/>
        <v>1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1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3</v>
      </c>
      <c r="D18" s="62">
        <f t="shared" ref="D18:Z18" si="19">IF(AND(D15=0,(D16+D17)&gt;0),1,IF(AND(D15&gt;0,(D16+D17)&gt;0),D15+1,D15))</f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1</v>
      </c>
      <c r="O20" s="173">
        <f t="shared" si="21"/>
        <v>1</v>
      </c>
      <c r="P20" s="173">
        <f t="shared" si="21"/>
        <v>1</v>
      </c>
      <c r="Q20" s="173">
        <f t="shared" si="21"/>
        <v>1</v>
      </c>
      <c r="R20" s="173">
        <f t="shared" si="21"/>
        <v>1</v>
      </c>
      <c r="S20" s="173">
        <f t="shared" si="21"/>
        <v>1</v>
      </c>
      <c r="T20" s="173">
        <f t="shared" si="21"/>
        <v>1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1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1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350</v>
      </c>
      <c r="BC21" s="30">
        <f>ROUND(Parcellaire!U19,0)</f>
        <v>233</v>
      </c>
      <c r="BD21" s="30" t="str">
        <f>IF(AW21=2,"",VLOOKUP(AY21,[1]MEP!$X$5:$AA$250,4))</f>
        <v>PT</v>
      </c>
      <c r="BE21" s="30" t="str">
        <f>IF(AW21=2,"",VLOOKUP(BD21,[1]MEP!$AC$5:$AD$10,2))</f>
        <v>P</v>
      </c>
      <c r="BF21" s="30" t="str">
        <f t="shared" si="10"/>
        <v>PE</v>
      </c>
      <c r="BG21" s="173">
        <f t="shared" si="11"/>
        <v>0</v>
      </c>
      <c r="BH21" s="173">
        <f t="shared" si="4"/>
        <v>0</v>
      </c>
      <c r="BI21" s="173">
        <f t="shared" si="5"/>
        <v>350</v>
      </c>
      <c r="BJ21" s="173">
        <f t="shared" si="6"/>
        <v>0</v>
      </c>
      <c r="BK21" s="173">
        <f t="shared" si="7"/>
        <v>0</v>
      </c>
      <c r="BL21" s="173">
        <f t="shared" si="8"/>
        <v>1</v>
      </c>
    </row>
    <row r="22" spans="1:64" x14ac:dyDescent="0.25">
      <c r="A22" s="178" t="s">
        <v>723</v>
      </c>
      <c r="B22" t="s">
        <v>568</v>
      </c>
      <c r="C22" s="62">
        <f>C18+C19+C21</f>
        <v>3</v>
      </c>
      <c r="D22" s="62">
        <f t="shared" ref="D22:Z22" si="22">D18+D19+D21</f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2</v>
      </c>
      <c r="U22" s="62">
        <f t="shared" si="22"/>
        <v>1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718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1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505</v>
      </c>
      <c r="BC22" s="30">
        <f>ROUND(Parcellaire!U20,0)</f>
        <v>1011</v>
      </c>
      <c r="BD22" s="30" t="str">
        <f>IF(AW22=2,"",VLOOKUP(AY22,[1]MEP!$X$5:$AA$250,4))</f>
        <v>lande</v>
      </c>
      <c r="BE22" s="30" t="str">
        <f>IF(AW22=2,"",VLOOKUP(BD22,[1]MEP!$AC$5:$AD$10,2))</f>
        <v>LP</v>
      </c>
      <c r="BF22" s="30" t="str">
        <f t="shared" si="10"/>
        <v>LP</v>
      </c>
      <c r="BG22" s="173">
        <f t="shared" si="11"/>
        <v>505</v>
      </c>
      <c r="BH22" s="173">
        <f t="shared" si="4"/>
        <v>0</v>
      </c>
      <c r="BI22" s="173">
        <f t="shared" si="5"/>
        <v>0</v>
      </c>
      <c r="BJ22" s="173">
        <f t="shared" si="6"/>
        <v>4.3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1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636</v>
      </c>
      <c r="BC23" s="30">
        <f>ROUND(Parcellaire!U21,0)</f>
        <v>1271</v>
      </c>
      <c r="BD23" s="30" t="str">
        <f>IF(AW23=2,"",VLOOKUP(AY23,[1]MEP!$X$5:$AA$250,4))</f>
        <v>lande</v>
      </c>
      <c r="BE23" s="30" t="str">
        <f>IF(AW23=2,"",VLOOKUP(BD23,[1]MEP!$AC$5:$AD$10,2))</f>
        <v>LP</v>
      </c>
      <c r="BF23" s="30" t="str">
        <f t="shared" si="10"/>
        <v>LP</v>
      </c>
      <c r="BG23" s="173">
        <f t="shared" si="11"/>
        <v>636</v>
      </c>
      <c r="BH23" s="173">
        <f t="shared" si="4"/>
        <v>0</v>
      </c>
      <c r="BI23" s="173">
        <f t="shared" si="5"/>
        <v>0</v>
      </c>
      <c r="BJ23" s="173">
        <f t="shared" si="6"/>
        <v>6.8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495</v>
      </c>
      <c r="BC24" s="30">
        <f>ROUND(Parcellaire!U22,0)</f>
        <v>330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PE</v>
      </c>
      <c r="BG24" s="173">
        <f t="shared" si="11"/>
        <v>0</v>
      </c>
      <c r="BH24" s="173">
        <f t="shared" si="4"/>
        <v>0</v>
      </c>
      <c r="BI24" s="173">
        <f t="shared" si="5"/>
        <v>495</v>
      </c>
      <c r="BJ24" s="173">
        <f t="shared" si="6"/>
        <v>0</v>
      </c>
      <c r="BK24" s="173">
        <f t="shared" si="7"/>
        <v>0</v>
      </c>
      <c r="BL24" s="173">
        <f t="shared" si="8"/>
        <v>2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1</v>
      </c>
      <c r="F25" s="177">
        <f t="shared" si="23"/>
        <v>1</v>
      </c>
      <c r="G25" s="177">
        <f t="shared" si="23"/>
        <v>1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2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2</v>
      </c>
      <c r="V25" s="177">
        <f t="shared" si="23"/>
        <v>2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1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495</v>
      </c>
      <c r="BC25" s="30">
        <f>ROUND(Parcellaire!U23,0)</f>
        <v>330</v>
      </c>
      <c r="BD25" s="30" t="str">
        <f>IF(AW25=2,"",VLOOKUP(AY25,[1]MEP!$X$5:$AA$250,4))</f>
        <v>PT</v>
      </c>
      <c r="BE25" s="30" t="str">
        <f>IF(AW25=2,"",VLOOKUP(BD25,[1]MEP!$AC$5:$AD$10,2))</f>
        <v>P</v>
      </c>
      <c r="BF25" s="30" t="str">
        <f t="shared" si="10"/>
        <v>PE</v>
      </c>
      <c r="BG25" s="173">
        <f t="shared" si="11"/>
        <v>0</v>
      </c>
      <c r="BH25" s="173">
        <f t="shared" si="4"/>
        <v>0</v>
      </c>
      <c r="BI25" s="173">
        <f t="shared" si="5"/>
        <v>495</v>
      </c>
      <c r="BJ25" s="173">
        <f t="shared" si="6"/>
        <v>0</v>
      </c>
      <c r="BK25" s="173">
        <f t="shared" si="7"/>
        <v>0</v>
      </c>
      <c r="BL25" s="173">
        <f t="shared" si="8"/>
        <v>2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1</v>
      </c>
      <c r="V26" s="177">
        <f t="shared" si="24"/>
        <v>1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1</v>
      </c>
      <c r="N28" s="177">
        <f t="shared" si="26"/>
        <v>1</v>
      </c>
      <c r="O28" s="177">
        <f t="shared" si="26"/>
        <v>1</v>
      </c>
      <c r="P28" s="177">
        <f t="shared" si="26"/>
        <v>1</v>
      </c>
      <c r="Q28" s="177">
        <f t="shared" si="26"/>
        <v>1</v>
      </c>
      <c r="R28" s="177">
        <f t="shared" si="26"/>
        <v>1</v>
      </c>
      <c r="S28" s="177">
        <f t="shared" si="26"/>
        <v>1</v>
      </c>
      <c r="T28" s="177">
        <f t="shared" si="26"/>
        <v>1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2</v>
      </c>
      <c r="F29" s="177">
        <f>F25*[1]Protect!$B$12</f>
        <v>2</v>
      </c>
      <c r="G29" s="177">
        <f>G25*[1]Protect!$B$12</f>
        <v>2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4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4</v>
      </c>
      <c r="V29" s="177">
        <f>V25*[1]Protect!$B$12</f>
        <v>4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3</v>
      </c>
      <c r="V30" s="177">
        <f>V26*[1]Protect!$B$13</f>
        <v>3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1141</v>
      </c>
      <c r="BH31" s="62">
        <f t="shared" ref="BH31:BK31" si="27">SUM(BH3:BH30)</f>
        <v>4317</v>
      </c>
      <c r="BI31" s="62">
        <f t="shared" si="27"/>
        <v>2766</v>
      </c>
      <c r="BJ31" s="62">
        <f t="shared" si="27"/>
        <v>11.1</v>
      </c>
      <c r="BK31" s="62">
        <f t="shared" si="27"/>
        <v>18.7</v>
      </c>
      <c r="BL31" s="62">
        <f>SUM(BL3:BL30)</f>
        <v>9.3000000000000007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2</v>
      </c>
      <c r="F32" s="177">
        <f t="shared" si="28"/>
        <v>2</v>
      </c>
      <c r="G32" s="177">
        <f t="shared" si="28"/>
        <v>2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4</v>
      </c>
      <c r="N32" s="177">
        <f t="shared" si="28"/>
        <v>4</v>
      </c>
      <c r="O32" s="177">
        <f t="shared" si="28"/>
        <v>4</v>
      </c>
      <c r="P32" s="177">
        <f t="shared" si="28"/>
        <v>4</v>
      </c>
      <c r="Q32" s="177">
        <f t="shared" si="28"/>
        <v>4</v>
      </c>
      <c r="R32" s="177">
        <f t="shared" si="28"/>
        <v>4</v>
      </c>
      <c r="S32" s="177">
        <f t="shared" si="28"/>
        <v>4</v>
      </c>
      <c r="T32" s="177">
        <f t="shared" si="28"/>
        <v>4</v>
      </c>
      <c r="U32" s="177">
        <f t="shared" si="28"/>
        <v>7</v>
      </c>
      <c r="V32" s="177">
        <f t="shared" si="28"/>
        <v>7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4</v>
      </c>
      <c r="N33" s="177">
        <f>N28*[1]Protect!$B$15</f>
        <v>4</v>
      </c>
      <c r="O33" s="177">
        <f>O28*[1]Protect!$B$15</f>
        <v>4</v>
      </c>
      <c r="P33" s="177">
        <f>P28*[1]Protect!$B$15</f>
        <v>4</v>
      </c>
      <c r="Q33" s="177">
        <f>Q28*[1]Protect!$B$15</f>
        <v>4</v>
      </c>
      <c r="R33" s="177">
        <f>R28*[1]Protect!$B$15</f>
        <v>4</v>
      </c>
      <c r="S33" s="177">
        <f>S28*[1]Protect!$B$15</f>
        <v>4</v>
      </c>
      <c r="T33" s="177">
        <f>T28*[1]Protect!$B$15</f>
        <v>4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3792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4</v>
      </c>
      <c r="F34" s="177">
        <f t="shared" si="29"/>
        <v>4</v>
      </c>
      <c r="G34" s="177">
        <f t="shared" si="29"/>
        <v>4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12</v>
      </c>
      <c r="N34" s="177">
        <f t="shared" si="29"/>
        <v>12</v>
      </c>
      <c r="O34" s="177">
        <f t="shared" si="29"/>
        <v>12</v>
      </c>
      <c r="P34" s="177">
        <f t="shared" si="29"/>
        <v>12</v>
      </c>
      <c r="Q34" s="177">
        <f t="shared" si="29"/>
        <v>12</v>
      </c>
      <c r="R34" s="177">
        <f t="shared" si="29"/>
        <v>12</v>
      </c>
      <c r="S34" s="177">
        <f t="shared" si="29"/>
        <v>12</v>
      </c>
      <c r="T34" s="177">
        <f t="shared" si="29"/>
        <v>12</v>
      </c>
      <c r="U34" s="177">
        <f t="shared" si="29"/>
        <v>14</v>
      </c>
      <c r="V34" s="177">
        <f t="shared" si="29"/>
        <v>14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1</v>
      </c>
      <c r="N41" s="173">
        <f t="shared" si="35"/>
        <v>1</v>
      </c>
      <c r="O41" s="173">
        <f t="shared" si="35"/>
        <v>1</v>
      </c>
      <c r="P41" s="173">
        <f t="shared" si="35"/>
        <v>1</v>
      </c>
      <c r="Q41" s="173">
        <f t="shared" si="35"/>
        <v>1</v>
      </c>
      <c r="R41" s="173">
        <f t="shared" si="35"/>
        <v>1</v>
      </c>
      <c r="S41" s="173">
        <f t="shared" si="35"/>
        <v>1</v>
      </c>
      <c r="T41" s="173">
        <f t="shared" si="35"/>
        <v>1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1</v>
      </c>
      <c r="N42" s="62">
        <f>IF(Protection!N41&gt;0,Scénario!$K$58,0)</f>
        <v>1</v>
      </c>
      <c r="O42" s="62">
        <f>IF(Protection!O41&gt;0,Scénario!$K$58,0)</f>
        <v>1</v>
      </c>
      <c r="P42" s="62">
        <f>IF(Protection!P41&gt;0,Scénario!$K$58,0)</f>
        <v>1</v>
      </c>
      <c r="Q42" s="62">
        <f>IF(Protection!Q41&gt;0,Scénario!$K$58,0)</f>
        <v>1</v>
      </c>
      <c r="R42" s="62">
        <f>IF(Protection!R41&gt;0,Scénario!$K$58,0)</f>
        <v>1</v>
      </c>
      <c r="S42" s="62">
        <f>IF(Protection!S41&gt;0,Scénario!$K$58,0)</f>
        <v>1</v>
      </c>
      <c r="T42" s="62">
        <f>IF(Protection!T41&gt;0,Scénario!$K$58,0)</f>
        <v>1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3</v>
      </c>
      <c r="N43" s="62">
        <f t="shared" si="36"/>
        <v>3</v>
      </c>
      <c r="O43" s="62">
        <f t="shared" si="36"/>
        <v>3</v>
      </c>
      <c r="P43" s="62">
        <f t="shared" si="36"/>
        <v>3</v>
      </c>
      <c r="Q43" s="62">
        <f t="shared" si="36"/>
        <v>3</v>
      </c>
      <c r="R43" s="62">
        <f t="shared" si="36"/>
        <v>3</v>
      </c>
      <c r="S43" s="62">
        <f t="shared" si="36"/>
        <v>3</v>
      </c>
      <c r="T43" s="62">
        <f t="shared" si="36"/>
        <v>3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</v>
      </c>
      <c r="D69" s="173">
        <f>IF($AA69=0,99,IF(D82&gt;3,CdTrp1!C77,CdTrp1!C53))</f>
        <v>0</v>
      </c>
      <c r="E69" s="173">
        <f>IF($AA69=0,99,IF(E82&gt;3,CdTrp1!D77,CdTrp1!D53))</f>
        <v>0</v>
      </c>
      <c r="F69" s="173">
        <f>IF($AA69=0,99,IF(F82&gt;3,CdTrp1!E77,CdTrp1!E53))</f>
        <v>0</v>
      </c>
      <c r="G69" s="173">
        <f>IF($AA69=0,99,IF(G82&gt;3,CdTrp1!F77,CdTrp1!F53))</f>
        <v>0</v>
      </c>
      <c r="H69" s="173">
        <f>IF($AA69=0,99,IF(H82&gt;3,CdTrp1!G77,CdTrp1!G53))</f>
        <v>0</v>
      </c>
      <c r="I69" s="173">
        <f>IF($AA69=0,99,IF(I82&gt;3,CdTrp1!H77,CdTrp1!H53))</f>
        <v>0</v>
      </c>
      <c r="J69" s="173">
        <f>IF($AA69=0,99,IF(J82&gt;3,CdTrp1!I77,CdTrp1!I53))</f>
        <v>0</v>
      </c>
      <c r="K69" s="173">
        <f>IF($AA69=0,99,IF(K82&gt;3,CdTrp1!J77,CdTrp1!J53))</f>
        <v>0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</v>
      </c>
      <c r="W69" s="173">
        <f>IF($AA69=0,99,IF(W82&gt;3,CdTrp1!V77,CdTrp1!V53))</f>
        <v>0</v>
      </c>
      <c r="X69" s="173">
        <f>IF($AA69=0,99,IF(X82&gt;3,CdTrp1!W77,CdTrp1!W53))</f>
        <v>0</v>
      </c>
      <c r="Y69" s="173">
        <f>IF($AA69=0,99,IF(Y82&gt;3,CdTrp1!X77,CdTrp1!X53))</f>
        <v>0</v>
      </c>
      <c r="Z69" s="173">
        <f>IF($AA69=0,99,IF(Z82&gt;3,CdTrp1!Y77,CdTrp1!Y53))</f>
        <v>0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0.5</v>
      </c>
      <c r="I70" s="173">
        <f>IF($AA70=0,99,IF(I83&gt;3,CdTrp1!H78,CdTrp1!H54))</f>
        <v>0.5</v>
      </c>
      <c r="J70" s="173">
        <f>IF($AA70=0,99,IF(J83&gt;3,CdTrp1!I78,CdTrp1!I54))</f>
        <v>0.5</v>
      </c>
      <c r="K70" s="173">
        <f>IF($AA70=0,99,IF(K83&gt;3,CdTrp1!J78,CdTrp1!J54))</f>
        <v>0.5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0</v>
      </c>
      <c r="D71" s="173">
        <f>IF($AA71=0,99,IF(D84&gt;3,CdTrp1!C79,CdTrp1!C55))</f>
        <v>0</v>
      </c>
      <c r="E71" s="173">
        <f>IF($AA71=0,99,IF(E84&gt;3,CdTrp1!D79,CdTrp1!D55))</f>
        <v>0</v>
      </c>
      <c r="F71" s="173">
        <f>IF($AA71=0,99,IF(F84&gt;3,CdTrp1!E79,CdTrp1!E55))</f>
        <v>0</v>
      </c>
      <c r="G71" s="173">
        <f>IF($AA71=0,99,IF(G84&gt;3,CdTrp1!F79,CdTrp1!F55))</f>
        <v>0</v>
      </c>
      <c r="H71" s="173">
        <f>IF($AA71=0,99,IF(H84&gt;3,CdTrp1!G79,CdTrp1!G55))</f>
        <v>0</v>
      </c>
      <c r="I71" s="173">
        <f>IF($AA71=0,99,IF(I84&gt;3,CdTrp1!H79,CdTrp1!H55))</f>
        <v>0</v>
      </c>
      <c r="J71" s="173">
        <f>IF($AA71=0,99,IF(J84&gt;3,CdTrp1!I79,CdTrp1!I55))</f>
        <v>0</v>
      </c>
      <c r="K71" s="173">
        <f>IF($AA71=0,99,IF(K84&gt;3,CdTrp1!J79,CdTrp1!J55))</f>
        <v>0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0</v>
      </c>
      <c r="W71" s="173">
        <f>IF($AA71=0,99,IF(W84&gt;3,CdTrp1!V79,CdTrp1!V55))</f>
        <v>0</v>
      </c>
      <c r="X71" s="173">
        <f>IF($AA71=0,99,IF(X84&gt;3,CdTrp1!W79,CdTrp1!W55))</f>
        <v>0</v>
      </c>
      <c r="Y71" s="173">
        <f>IF($AA71=0,99,IF(Y84&gt;3,CdTrp1!X79,CdTrp1!X55))</f>
        <v>0</v>
      </c>
      <c r="Z71" s="173">
        <f>IF($AA71=0,99,IF(Z84&gt;3,CdTrp1!Y79,CdTrp1!Y55))</f>
        <v>0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3</v>
      </c>
      <c r="H82" s="173">
        <f>CdTrp1!G77</f>
        <v>3</v>
      </c>
      <c r="I82" s="173">
        <f>CdTrp1!H77</f>
        <v>3</v>
      </c>
      <c r="J82" s="173">
        <f>CdTrp1!I77</f>
        <v>3</v>
      </c>
      <c r="K82" s="173">
        <f>CdTrp1!J77</f>
        <v>3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3</v>
      </c>
      <c r="W82" s="173">
        <f>CdTrp1!V77</f>
        <v>3</v>
      </c>
      <c r="X82" s="173">
        <f>CdTrp1!W77</f>
        <v>3</v>
      </c>
      <c r="Y82" s="173">
        <f>CdTrp1!X77</f>
        <v>3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1</v>
      </c>
      <c r="F83" s="173">
        <f>CdTrp1!E78</f>
        <v>1</v>
      </c>
      <c r="G83" s="173">
        <f>CdTrp1!F78</f>
        <v>1</v>
      </c>
      <c r="H83" s="173">
        <f>CdTrp1!G78</f>
        <v>1</v>
      </c>
      <c r="I83" s="173">
        <f>CdTrp1!H78</f>
        <v>1</v>
      </c>
      <c r="J83" s="173">
        <f>CdTrp1!I78</f>
        <v>1</v>
      </c>
      <c r="K83" s="173">
        <f>CdTrp1!J78</f>
        <v>1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0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2</v>
      </c>
      <c r="D84" s="173">
        <f>CdTrp1!C79</f>
        <v>2</v>
      </c>
      <c r="E84" s="173">
        <f>CdTrp1!D79</f>
        <v>2</v>
      </c>
      <c r="F84" s="173">
        <f>CdTrp1!E79</f>
        <v>2</v>
      </c>
      <c r="G84" s="173">
        <f>CdTrp1!F79</f>
        <v>2</v>
      </c>
      <c r="H84" s="173">
        <f>CdTrp1!G79</f>
        <v>2</v>
      </c>
      <c r="I84" s="173">
        <f>CdTrp1!H79</f>
        <v>2</v>
      </c>
      <c r="J84" s="173">
        <f>CdTrp1!I79</f>
        <v>2</v>
      </c>
      <c r="K84" s="173">
        <f>CdTrp1!J79</f>
        <v>1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2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5</v>
      </c>
      <c r="N110" s="173">
        <f>IF($AA110=0,99,IF(N123&gt;3,CdTrp2!M76,CdTrp2!M52))</f>
        <v>5</v>
      </c>
      <c r="O110" s="173">
        <f>IF($AA110=0,99,IF(O123&gt;3,CdTrp2!N76,CdTrp2!N52))</f>
        <v>5</v>
      </c>
      <c r="P110" s="173">
        <f>IF($AA110=0,99,IF(P123&gt;3,CdTrp2!O76,CdTrp2!O52))</f>
        <v>5</v>
      </c>
      <c r="Q110" s="173">
        <f>IF($AA110=0,99,IF(Q123&gt;3,CdTrp2!P76,CdTrp2!P52))</f>
        <v>5</v>
      </c>
      <c r="R110" s="173">
        <f>IF($AA110=0,99,IF(R123&gt;3,CdTrp2!Q76,CdTrp2!Q52))</f>
        <v>5</v>
      </c>
      <c r="S110" s="173">
        <f>IF($AA110=0,99,IF(S123&gt;3,CdTrp2!R76,CdTrp2!R52))</f>
        <v>5</v>
      </c>
      <c r="T110" s="173">
        <f>IF($AA110=0,99,IF(T123&gt;3,CdTrp2!S76,CdTrp2!S52))</f>
        <v>5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3</v>
      </c>
      <c r="D111" s="173">
        <f>IF($AA111=0,99,IF(D124&gt;3,CdTrp2!C77,CdTrp2!C53))</f>
        <v>3</v>
      </c>
      <c r="E111" s="173">
        <f>IF($AA111=0,99,IF(E124&gt;3,CdTrp2!D77,CdTrp2!D53))</f>
        <v>3</v>
      </c>
      <c r="F111" s="173">
        <f>IF($AA111=0,99,IF(F124&gt;3,CdTrp2!E77,CdTrp2!E53))</f>
        <v>3</v>
      </c>
      <c r="G111" s="173">
        <f>IF($AA111=0,99,IF(G124&gt;3,CdTrp2!F77,CdTrp2!F53))</f>
        <v>3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3</v>
      </c>
      <c r="Z111" s="173">
        <f>IF($AA111=0,99,IF(Z124&gt;3,CdTrp2!Y77,CdTrp2!Y53))</f>
        <v>3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3</v>
      </c>
      <c r="V123" s="30">
        <f>CdTrp2!U76</f>
        <v>3</v>
      </c>
      <c r="W123" s="30">
        <f>CdTrp2!V76</f>
        <v>2</v>
      </c>
      <c r="X123" s="30">
        <f>CdTrp2!W76</f>
        <v>2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3</v>
      </c>
      <c r="D180" s="173">
        <f>IF(Troupeau!$B$3="OL",Protection!D18,0)</f>
        <v>3</v>
      </c>
      <c r="E180" s="173">
        <f>IF(Troupeau!$B$3="OL",Protection!E18,0)</f>
        <v>3</v>
      </c>
      <c r="F180" s="173">
        <f>IF(Troupeau!$B$3="OL",Protection!F18,0)</f>
        <v>3</v>
      </c>
      <c r="G180" s="173">
        <f>IF(Troupeau!$B$3="OL",Protection!G18,0)</f>
        <v>3</v>
      </c>
      <c r="H180" s="173">
        <f>IF(Troupeau!$B$3="OL",Protection!H18,0)</f>
        <v>3</v>
      </c>
      <c r="I180" s="173">
        <f>IF(Troupeau!$B$3="OL",Protection!I18,0)</f>
        <v>3</v>
      </c>
      <c r="J180" s="173">
        <f>IF(Troupeau!$B$3="OL",Protection!J18,0)</f>
        <v>3</v>
      </c>
      <c r="K180" s="173">
        <f>IF(Troupeau!$B$3="OL",Protection!K18,0)</f>
        <v>3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3</v>
      </c>
      <c r="W180" s="173">
        <f>IF(Troupeau!$B$3="OL",Protection!W18,0)</f>
        <v>3</v>
      </c>
      <c r="X180" s="173">
        <f>IF(Troupeau!$B$3="OL",Protection!X18,0)</f>
        <v>3</v>
      </c>
      <c r="Y180" s="173">
        <f>IF(Troupeau!$B$3="OL",Protection!Y18,0)</f>
        <v>3</v>
      </c>
      <c r="Z180" s="173">
        <f>IF(Troupeau!$B$3="OL",Protection!Z18,0)</f>
        <v>3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1</v>
      </c>
      <c r="O181" s="173">
        <f>IF(Troupeau!$B$3="OL",Protection!O19+O21,0)</f>
        <v>1</v>
      </c>
      <c r="P181" s="173">
        <f>IF(Troupeau!$B$3="OL",Protection!P19+P21,0)</f>
        <v>1</v>
      </c>
      <c r="Q181" s="173">
        <f>IF(Troupeau!$B$3="OL",Protection!Q19+Q21,0)</f>
        <v>1</v>
      </c>
      <c r="R181" s="173">
        <f>IF(Troupeau!$B$3="OL",Protection!R19+R21,0)</f>
        <v>1</v>
      </c>
      <c r="S181" s="173">
        <f>IF(Troupeau!$B$3="OL",Protection!S19+S21,0)</f>
        <v>1</v>
      </c>
      <c r="T181" s="173">
        <f>IF(Troupeau!$B$3="OL",Protection!T19+T21,0)</f>
        <v>1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3</v>
      </c>
      <c r="D195" s="173">
        <f t="shared" ref="D195:Z196" si="50">D180+D183+D185+D187</f>
        <v>3</v>
      </c>
      <c r="E195" s="173">
        <f t="shared" si="50"/>
        <v>3</v>
      </c>
      <c r="F195" s="173">
        <f t="shared" si="50"/>
        <v>3</v>
      </c>
      <c r="G195" s="173">
        <f t="shared" si="50"/>
        <v>3</v>
      </c>
      <c r="H195" s="173">
        <f t="shared" si="50"/>
        <v>3</v>
      </c>
      <c r="I195" s="173">
        <f t="shared" si="50"/>
        <v>3</v>
      </c>
      <c r="J195" s="173">
        <f t="shared" si="50"/>
        <v>3</v>
      </c>
      <c r="K195" s="173">
        <f t="shared" si="50"/>
        <v>3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3</v>
      </c>
      <c r="W195" s="173">
        <f t="shared" si="50"/>
        <v>3</v>
      </c>
      <c r="X195" s="173">
        <f t="shared" si="50"/>
        <v>3</v>
      </c>
      <c r="Y195" s="173">
        <f t="shared" si="50"/>
        <v>3</v>
      </c>
      <c r="Z195" s="173">
        <f t="shared" si="50"/>
        <v>3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1</v>
      </c>
      <c r="O196" s="173">
        <f t="shared" si="50"/>
        <v>1</v>
      </c>
      <c r="P196" s="173">
        <f t="shared" si="50"/>
        <v>1</v>
      </c>
      <c r="Q196" s="173">
        <f t="shared" si="50"/>
        <v>1</v>
      </c>
      <c r="R196" s="173">
        <f t="shared" si="50"/>
        <v>1</v>
      </c>
      <c r="S196" s="173">
        <f t="shared" si="50"/>
        <v>1</v>
      </c>
      <c r="T196" s="173">
        <f t="shared" si="50"/>
        <v>1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6</v>
      </c>
      <c r="F201" s="173">
        <f>IF(Troupeau!$B$3="OL",F8+F9,0)</f>
        <v>8</v>
      </c>
      <c r="G201" s="173">
        <f>IF(Troupeau!$B$3="OL",G8+G9,0)</f>
        <v>9</v>
      </c>
      <c r="H201" s="173">
        <f>IF(Troupeau!$B$3="OL",H8+H9,0)</f>
        <v>9</v>
      </c>
      <c r="I201" s="173">
        <f>IF(Troupeau!$B$3="OL",I8+I9,0)</f>
        <v>9</v>
      </c>
      <c r="J201" s="173">
        <f>IF(Troupeau!$B$3="OL",J8+J9,0)</f>
        <v>9</v>
      </c>
      <c r="K201" s="173">
        <f>IF(Troupeau!$B$3="OL",K8+K9,0)</f>
        <v>9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4</v>
      </c>
      <c r="V201" s="173">
        <f>IF(Troupeau!$B$3="OL",V8+V9,0)</f>
        <v>7</v>
      </c>
      <c r="W201" s="173">
        <f>IF(Troupeau!$B$3="OL",W8+W9,0)</f>
        <v>5</v>
      </c>
      <c r="X201" s="173">
        <f>IF(Troupeau!$B$3="OL",X8+X9,0)</f>
        <v>5</v>
      </c>
      <c r="Y201" s="173">
        <f>IF(Troupeau!$B$3="OL",Y8+Y9,0)</f>
        <v>5</v>
      </c>
      <c r="Z201" s="173">
        <f>IF(Troupeau!$B$3="OL",Z8+Z9,0)</f>
        <v>4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4</v>
      </c>
      <c r="O202" s="173">
        <f>IF(Troupeau!$B$3="OL",O10+O12,0)</f>
        <v>4</v>
      </c>
      <c r="P202" s="173">
        <f>IF(Troupeau!$B$3="OL",P10+P12,0)</f>
        <v>4</v>
      </c>
      <c r="Q202" s="173">
        <f>IF(Troupeau!$B$3="OL",Q10+Q12,0)</f>
        <v>4</v>
      </c>
      <c r="R202" s="173">
        <f>IF(Troupeau!$B$3="OL",R10+R12,0)</f>
        <v>4</v>
      </c>
      <c r="S202" s="173">
        <f>IF(Troupeau!$B$3="OL",S10+S12,0)</f>
        <v>4</v>
      </c>
      <c r="T202" s="173">
        <f>IF(Troupeau!$B$3="OL",T10+T12,0)</f>
        <v>4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4</v>
      </c>
      <c r="D203" s="173">
        <f t="shared" ref="D203:Z203" si="51">SUM(D201:D202)</f>
        <v>4</v>
      </c>
      <c r="E203" s="173">
        <f t="shared" si="51"/>
        <v>6</v>
      </c>
      <c r="F203" s="173">
        <f t="shared" si="51"/>
        <v>8</v>
      </c>
      <c r="G203" s="173">
        <f t="shared" si="51"/>
        <v>9</v>
      </c>
      <c r="H203" s="173">
        <f t="shared" si="51"/>
        <v>9</v>
      </c>
      <c r="I203" s="173">
        <f t="shared" si="51"/>
        <v>9</v>
      </c>
      <c r="J203" s="173">
        <f t="shared" si="51"/>
        <v>9</v>
      </c>
      <c r="K203" s="173">
        <f t="shared" si="51"/>
        <v>9</v>
      </c>
      <c r="L203" s="173">
        <f t="shared" si="51"/>
        <v>4</v>
      </c>
      <c r="M203" s="173">
        <f t="shared" si="51"/>
        <v>4</v>
      </c>
      <c r="N203" s="173">
        <f t="shared" si="51"/>
        <v>6</v>
      </c>
      <c r="O203" s="173">
        <f t="shared" si="51"/>
        <v>6</v>
      </c>
      <c r="P203" s="173">
        <f t="shared" si="51"/>
        <v>6</v>
      </c>
      <c r="Q203" s="173">
        <f t="shared" si="51"/>
        <v>6</v>
      </c>
      <c r="R203" s="173">
        <f t="shared" si="51"/>
        <v>6</v>
      </c>
      <c r="S203" s="173">
        <f t="shared" si="51"/>
        <v>6</v>
      </c>
      <c r="T203" s="173">
        <f t="shared" si="51"/>
        <v>6</v>
      </c>
      <c r="U203" s="173">
        <f t="shared" si="51"/>
        <v>4</v>
      </c>
      <c r="V203" s="173">
        <f t="shared" si="51"/>
        <v>7</v>
      </c>
      <c r="W203" s="173">
        <f t="shared" si="51"/>
        <v>5</v>
      </c>
      <c r="X203" s="173">
        <f t="shared" si="51"/>
        <v>5</v>
      </c>
      <c r="Y203" s="173">
        <f t="shared" si="51"/>
        <v>5</v>
      </c>
      <c r="Z203" s="173">
        <f t="shared" si="51"/>
        <v>4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4</v>
      </c>
      <c r="D212" s="173">
        <f t="shared" ref="D212:Z213" si="52">D201+D204+D206+D208</f>
        <v>4</v>
      </c>
      <c r="E212" s="173">
        <f t="shared" si="52"/>
        <v>6</v>
      </c>
      <c r="F212" s="173">
        <f t="shared" si="52"/>
        <v>8</v>
      </c>
      <c r="G212" s="173">
        <f t="shared" si="52"/>
        <v>9</v>
      </c>
      <c r="H212" s="173">
        <f t="shared" si="52"/>
        <v>9</v>
      </c>
      <c r="I212" s="173">
        <f t="shared" si="52"/>
        <v>9</v>
      </c>
      <c r="J212" s="173">
        <f t="shared" si="52"/>
        <v>9</v>
      </c>
      <c r="K212" s="173">
        <f t="shared" si="52"/>
        <v>9</v>
      </c>
      <c r="L212" s="173">
        <f t="shared" si="52"/>
        <v>4</v>
      </c>
      <c r="M212" s="173">
        <f t="shared" si="52"/>
        <v>4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4</v>
      </c>
      <c r="V212" s="173">
        <f t="shared" si="52"/>
        <v>7</v>
      </c>
      <c r="W212" s="173">
        <f t="shared" si="52"/>
        <v>5</v>
      </c>
      <c r="X212" s="173">
        <f t="shared" si="52"/>
        <v>5</v>
      </c>
      <c r="Y212" s="173">
        <f t="shared" si="52"/>
        <v>5</v>
      </c>
      <c r="Z212" s="173">
        <f t="shared" si="52"/>
        <v>4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4</v>
      </c>
      <c r="O213" s="173">
        <f t="shared" si="52"/>
        <v>4</v>
      </c>
      <c r="P213" s="173">
        <f t="shared" si="52"/>
        <v>4</v>
      </c>
      <c r="Q213" s="173">
        <f t="shared" si="52"/>
        <v>4</v>
      </c>
      <c r="R213" s="173">
        <f t="shared" si="52"/>
        <v>4</v>
      </c>
      <c r="S213" s="173">
        <f t="shared" si="52"/>
        <v>4</v>
      </c>
      <c r="T213" s="173">
        <f t="shared" si="52"/>
        <v>4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4</v>
      </c>
      <c r="D214" s="173">
        <f t="shared" ref="D214:Z214" si="53">D212+D213</f>
        <v>4</v>
      </c>
      <c r="E214" s="173">
        <f t="shared" si="53"/>
        <v>6</v>
      </c>
      <c r="F214" s="173">
        <f t="shared" si="53"/>
        <v>8</v>
      </c>
      <c r="G214" s="173">
        <f t="shared" si="53"/>
        <v>9</v>
      </c>
      <c r="H214" s="173">
        <f t="shared" si="53"/>
        <v>9</v>
      </c>
      <c r="I214" s="173">
        <f t="shared" si="53"/>
        <v>9</v>
      </c>
      <c r="J214" s="173">
        <f t="shared" si="53"/>
        <v>9</v>
      </c>
      <c r="K214" s="173">
        <f t="shared" si="53"/>
        <v>9</v>
      </c>
      <c r="L214" s="173">
        <f t="shared" si="53"/>
        <v>4</v>
      </c>
      <c r="M214" s="173">
        <f t="shared" si="53"/>
        <v>4</v>
      </c>
      <c r="N214" s="173">
        <f t="shared" si="53"/>
        <v>6</v>
      </c>
      <c r="O214" s="173">
        <f t="shared" si="53"/>
        <v>6</v>
      </c>
      <c r="P214" s="173">
        <f t="shared" si="53"/>
        <v>6</v>
      </c>
      <c r="Q214" s="173">
        <f t="shared" si="53"/>
        <v>6</v>
      </c>
      <c r="R214" s="173">
        <f t="shared" si="53"/>
        <v>6</v>
      </c>
      <c r="S214" s="173">
        <f t="shared" si="53"/>
        <v>6</v>
      </c>
      <c r="T214" s="173">
        <f t="shared" si="53"/>
        <v>6</v>
      </c>
      <c r="U214" s="173">
        <f t="shared" si="53"/>
        <v>4</v>
      </c>
      <c r="V214" s="173">
        <f t="shared" si="53"/>
        <v>7</v>
      </c>
      <c r="W214" s="173">
        <f t="shared" si="53"/>
        <v>5</v>
      </c>
      <c r="X214" s="173">
        <f t="shared" si="53"/>
        <v>5</v>
      </c>
      <c r="Y214" s="173">
        <f t="shared" si="53"/>
        <v>5</v>
      </c>
      <c r="Z214" s="173">
        <f t="shared" si="53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10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530.25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42</v>
      </c>
      <c r="M5" s="173">
        <f t="shared" si="0"/>
        <v>42</v>
      </c>
      <c r="N5" s="173">
        <f t="shared" si="0"/>
        <v>42</v>
      </c>
      <c r="O5" s="173">
        <f t="shared" si="0"/>
        <v>40.25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169.04999999999998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8.75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8.75</v>
      </c>
      <c r="R6" s="173">
        <f t="shared" si="2"/>
        <v>8.75</v>
      </c>
      <c r="S6" s="173">
        <f t="shared" si="2"/>
        <v>8.75</v>
      </c>
      <c r="T6" s="173">
        <f t="shared" si="2"/>
        <v>8.75</v>
      </c>
      <c r="U6" s="173">
        <f t="shared" si="2"/>
        <v>8.75</v>
      </c>
      <c r="V6" s="173">
        <f t="shared" si="2"/>
        <v>8.75</v>
      </c>
      <c r="W6" s="173">
        <f t="shared" si="2"/>
        <v>8.75</v>
      </c>
      <c r="X6" s="173">
        <f t="shared" si="2"/>
        <v>8.75</v>
      </c>
      <c r="Y6" s="173">
        <f t="shared" si="2"/>
        <v>22.75</v>
      </c>
      <c r="Z6" s="173">
        <f t="shared" si="2"/>
        <v>21</v>
      </c>
      <c r="AA6" s="173">
        <f t="shared" si="2"/>
        <v>28</v>
      </c>
      <c r="AB6" s="173">
        <f t="shared" si="2"/>
        <v>28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858.85008695652186</v>
      </c>
      <c r="G9" s="30">
        <f>AV102</f>
        <v>51.907739130434784</v>
      </c>
      <c r="H9" s="30">
        <f t="shared" ref="H9:AD9" si="4">AW102</f>
        <v>51.815217391304351</v>
      </c>
      <c r="I9" s="30">
        <f t="shared" si="4"/>
        <v>51.722695652173911</v>
      </c>
      <c r="J9" s="30">
        <f t="shared" si="4"/>
        <v>51.676434782608695</v>
      </c>
      <c r="K9" s="30">
        <f t="shared" si="4"/>
        <v>51.630173913043478</v>
      </c>
      <c r="L9" s="30">
        <f t="shared" si="4"/>
        <v>30.583913043478262</v>
      </c>
      <c r="M9" s="30">
        <f t="shared" si="4"/>
        <v>30.537652173913045</v>
      </c>
      <c r="N9" s="30">
        <f t="shared" si="4"/>
        <v>30.491391304347829</v>
      </c>
      <c r="O9" s="30">
        <f t="shared" si="4"/>
        <v>30.398869565217392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29.01104347826087</v>
      </c>
      <c r="AA9" s="30">
        <f t="shared" si="4"/>
        <v>50.011043478260873</v>
      </c>
      <c r="AB9" s="30">
        <f t="shared" si="4"/>
        <v>51.907739130434784</v>
      </c>
      <c r="AC9" s="30">
        <f t="shared" si="4"/>
        <v>51.907739130434784</v>
      </c>
      <c r="AD9" s="30">
        <f t="shared" si="4"/>
        <v>51.907739130434784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2174.8500869565223</v>
      </c>
      <c r="G13" s="30">
        <f>SUM(G5:G11)</f>
        <v>107.90773913043478</v>
      </c>
      <c r="H13" s="30">
        <f t="shared" ref="H13:AD13" si="8">SUM(H5:H11)</f>
        <v>107.81521739130434</v>
      </c>
      <c r="I13" s="30">
        <f t="shared" si="8"/>
        <v>112.97269565217391</v>
      </c>
      <c r="J13" s="30">
        <f t="shared" si="8"/>
        <v>126.92643478260869</v>
      </c>
      <c r="K13" s="30">
        <f t="shared" si="8"/>
        <v>126.88017391304348</v>
      </c>
      <c r="L13" s="30">
        <f t="shared" si="8"/>
        <v>123.33391304347826</v>
      </c>
      <c r="M13" s="30">
        <f t="shared" si="8"/>
        <v>112.78765217391305</v>
      </c>
      <c r="N13" s="30">
        <f t="shared" si="8"/>
        <v>116.24139130434783</v>
      </c>
      <c r="O13" s="30">
        <f t="shared" si="8"/>
        <v>114.3988695652174</v>
      </c>
      <c r="P13" s="30">
        <f t="shared" si="8"/>
        <v>102.33391304347826</v>
      </c>
      <c r="Q13" s="30">
        <f t="shared" si="8"/>
        <v>67.333913043478262</v>
      </c>
      <c r="R13" s="30">
        <f t="shared" si="8"/>
        <v>44.405565217391306</v>
      </c>
      <c r="S13" s="30">
        <f t="shared" si="8"/>
        <v>44.405565217391306</v>
      </c>
      <c r="T13" s="30">
        <f t="shared" si="8"/>
        <v>44.405565217391306</v>
      </c>
      <c r="U13" s="30">
        <f t="shared" si="8"/>
        <v>44.405565217391306</v>
      </c>
      <c r="V13" s="30">
        <f t="shared" si="8"/>
        <v>44.405565217391306</v>
      </c>
      <c r="W13" s="30">
        <f t="shared" si="8"/>
        <v>44.405565217391306</v>
      </c>
      <c r="X13" s="30">
        <f t="shared" si="8"/>
        <v>44.405565217391306</v>
      </c>
      <c r="Y13" s="30">
        <f t="shared" si="8"/>
        <v>102.33391304347826</v>
      </c>
      <c r="Z13" s="30">
        <f t="shared" si="8"/>
        <v>99.011043478260873</v>
      </c>
      <c r="AA13" s="30">
        <f t="shared" si="8"/>
        <v>113.01104347826087</v>
      </c>
      <c r="AB13" s="30">
        <f t="shared" si="8"/>
        <v>114.90773913043478</v>
      </c>
      <c r="AC13" s="30">
        <f t="shared" si="8"/>
        <v>107.90773913043478</v>
      </c>
      <c r="AD13" s="30">
        <f t="shared" si="8"/>
        <v>107.90773913043478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5</v>
      </c>
      <c r="C16" s="190">
        <f>VALUE(LEFT(Scénario!K57,1))</f>
        <v>3</v>
      </c>
      <c r="D16" s="190">
        <f>IF(B16&gt;0,VLOOKUP(C16,[1]Trav!$A$86:$D$90,4),0)</f>
        <v>42</v>
      </c>
      <c r="E16" s="190">
        <f>Scénario!K54*2</f>
        <v>7</v>
      </c>
      <c r="F16" s="173">
        <f>IF(B16&gt;0,D16*E16/B16,0)</f>
        <v>58.8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1</v>
      </c>
      <c r="C17" s="190">
        <f>VALUE(LEFT(Scénario!K64,1))</f>
        <v>1</v>
      </c>
      <c r="D17" s="190">
        <f>IF(B17&gt;0,VLOOKUP(C17,[1]Trav!$A$86:$D$90,4),0)</f>
        <v>12</v>
      </c>
      <c r="E17" s="190">
        <f>Scénario!K61*2</f>
        <v>8</v>
      </c>
      <c r="F17" s="173">
        <f t="shared" ref="F17:F18" si="15">IF(B17&gt;0,D17*E17/B17,0)</f>
        <v>96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faible</v>
      </c>
      <c r="AV27" s="173">
        <f t="shared" si="17"/>
        <v>1</v>
      </c>
      <c r="AW27" s="173">
        <f t="shared" si="17"/>
        <v>1</v>
      </c>
      <c r="AX27" s="173">
        <f t="shared" si="17"/>
        <v>1</v>
      </c>
      <c r="AY27" s="173">
        <f t="shared" si="17"/>
        <v>1</v>
      </c>
      <c r="AZ27" s="173">
        <f t="shared" si="17"/>
        <v>1</v>
      </c>
      <c r="BA27" s="173">
        <f t="shared" si="17"/>
        <v>1</v>
      </c>
      <c r="BB27" s="173">
        <f t="shared" si="17"/>
        <v>1</v>
      </c>
      <c r="BC27" s="173">
        <f t="shared" si="17"/>
        <v>1</v>
      </c>
      <c r="BD27" s="173">
        <f t="shared" si="17"/>
        <v>1</v>
      </c>
      <c r="BE27" s="173">
        <f t="shared" si="17"/>
        <v>1</v>
      </c>
      <c r="BF27" s="173">
        <f t="shared" si="17"/>
        <v>1</v>
      </c>
      <c r="BG27" s="173">
        <f t="shared" si="17"/>
        <v>1</v>
      </c>
      <c r="BH27" s="173">
        <f t="shared" si="17"/>
        <v>1</v>
      </c>
      <c r="BI27" s="173">
        <f t="shared" si="17"/>
        <v>1</v>
      </c>
      <c r="BJ27" s="173">
        <f t="shared" si="17"/>
        <v>1</v>
      </c>
      <c r="BK27" s="173">
        <f t="shared" si="17"/>
        <v>1</v>
      </c>
      <c r="BL27" s="173">
        <f t="shared" si="18"/>
        <v>1</v>
      </c>
      <c r="BM27" s="173">
        <f t="shared" si="18"/>
        <v>1</v>
      </c>
      <c r="BN27" s="173">
        <f t="shared" si="18"/>
        <v>1</v>
      </c>
      <c r="BO27" s="173">
        <f t="shared" si="18"/>
        <v>1</v>
      </c>
      <c r="BP27" s="173">
        <f t="shared" si="18"/>
        <v>1</v>
      </c>
      <c r="BQ27" s="173">
        <f t="shared" si="18"/>
        <v>1</v>
      </c>
      <c r="BR27" s="173">
        <f t="shared" si="18"/>
        <v>1</v>
      </c>
      <c r="BS27" s="173">
        <f t="shared" si="18"/>
        <v>1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faible</v>
      </c>
      <c r="AV29" s="173">
        <f t="shared" si="17"/>
        <v>1</v>
      </c>
      <c r="AW29" s="173">
        <f t="shared" si="17"/>
        <v>1</v>
      </c>
      <c r="AX29" s="173">
        <f t="shared" si="17"/>
        <v>1</v>
      </c>
      <c r="AY29" s="173">
        <f t="shared" si="17"/>
        <v>1</v>
      </c>
      <c r="AZ29" s="173">
        <f t="shared" si="17"/>
        <v>1</v>
      </c>
      <c r="BA29" s="173">
        <f t="shared" si="17"/>
        <v>1</v>
      </c>
      <c r="BB29" s="173">
        <f t="shared" si="17"/>
        <v>1</v>
      </c>
      <c r="BC29" s="173">
        <f t="shared" si="17"/>
        <v>1</v>
      </c>
      <c r="BD29" s="173">
        <f t="shared" si="17"/>
        <v>1</v>
      </c>
      <c r="BE29" s="173">
        <f t="shared" si="17"/>
        <v>1</v>
      </c>
      <c r="BF29" s="173">
        <f t="shared" si="17"/>
        <v>1</v>
      </c>
      <c r="BG29" s="173">
        <f t="shared" si="17"/>
        <v>1</v>
      </c>
      <c r="BH29" s="173">
        <f t="shared" si="17"/>
        <v>1</v>
      </c>
      <c r="BI29" s="173">
        <f t="shared" si="17"/>
        <v>1</v>
      </c>
      <c r="BJ29" s="173">
        <f t="shared" si="17"/>
        <v>1</v>
      </c>
      <c r="BK29" s="173">
        <f t="shared" si="17"/>
        <v>1</v>
      </c>
      <c r="BL29" s="173">
        <f t="shared" si="18"/>
        <v>1</v>
      </c>
      <c r="BM29" s="173">
        <f t="shared" si="18"/>
        <v>1</v>
      </c>
      <c r="BN29" s="173">
        <f t="shared" si="18"/>
        <v>1</v>
      </c>
      <c r="BO29" s="173">
        <f t="shared" si="18"/>
        <v>1</v>
      </c>
      <c r="BP29" s="173">
        <f t="shared" si="18"/>
        <v>1</v>
      </c>
      <c r="BQ29" s="173">
        <f t="shared" si="18"/>
        <v>1</v>
      </c>
      <c r="BR29" s="173">
        <f t="shared" si="18"/>
        <v>1</v>
      </c>
      <c r="BS29" s="173">
        <f t="shared" si="18"/>
        <v>1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279</v>
      </c>
      <c r="C31" s="190">
        <f>IF(B31&gt;0,VLOOKUP(Troupeau!B3,[1]Trav!$A$96:$B$99,2),0)</f>
        <v>110</v>
      </c>
      <c r="D31" s="172"/>
      <c r="E31" s="172"/>
      <c r="F31" s="173">
        <f>B31*C31/60</f>
        <v>511.5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15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90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265</v>
      </c>
      <c r="D35" s="190">
        <f>IF(Troupeau!B3="OL",[1]Trav!$B$103,0)</f>
        <v>2.4900000000000002</v>
      </c>
      <c r="E35" s="172"/>
      <c r="F35" s="173">
        <f>B35+C35*D35</f>
        <v>879.85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1</v>
      </c>
      <c r="AW38" s="173">
        <f>IF(CdTrp1!C53=1,3,IF(CdTrp1!C53=0.5,2,IF(CdTrp1!C53=0,1,0)))</f>
        <v>1</v>
      </c>
      <c r="AX38" s="173">
        <f>IF(CdTrp1!D53=1,3,IF(CdTrp1!D53=0.5,2,IF(CdTrp1!D53=0,1,0)))</f>
        <v>1</v>
      </c>
      <c r="AY38" s="173">
        <f>IF(CdTrp1!E53=1,3,IF(CdTrp1!E53=0.5,2,IF(CdTrp1!E53=0,1,0)))</f>
        <v>1</v>
      </c>
      <c r="AZ38" s="173">
        <f>IF(CdTrp1!F53=1,3,IF(CdTrp1!F53=0.5,2,IF(CdTrp1!F53=0,1,0)))</f>
        <v>1</v>
      </c>
      <c r="BA38" s="173">
        <f>IF(CdTrp1!G53=1,3,IF(CdTrp1!G53=0.5,2,IF(CdTrp1!G53=0,1,0)))</f>
        <v>1</v>
      </c>
      <c r="BB38" s="173">
        <f>IF(CdTrp1!H53=1,3,IF(CdTrp1!H53=0.5,2,IF(CdTrp1!H53=0,1,0)))</f>
        <v>1</v>
      </c>
      <c r="BC38" s="173">
        <f>IF(CdTrp1!I53=1,3,IF(CdTrp1!I53=0.5,2,IF(CdTrp1!I53=0,1,0)))</f>
        <v>1</v>
      </c>
      <c r="BD38" s="173">
        <f>IF(CdTrp1!J53=1,3,IF(CdTrp1!J53=0.5,2,IF(CdTrp1!J53=0,1,0)))</f>
        <v>1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1</v>
      </c>
      <c r="BP38" s="173">
        <f>IF(CdTrp1!V53=1,3,IF(CdTrp1!V53=0.5,2,IF(CdTrp1!V53=0,1,0)))</f>
        <v>1</v>
      </c>
      <c r="BQ38" s="173">
        <f>IF(CdTrp1!W53=1,3,IF(CdTrp1!W53=0.5,2,IF(CdTrp1!W53=0,1,0)))</f>
        <v>1</v>
      </c>
      <c r="BR38" s="173">
        <f>IF(CdTrp1!X53=1,3,IF(CdTrp1!X53=0.5,2,IF(CdTrp1!X53=0,1,0)))</f>
        <v>1</v>
      </c>
      <c r="BS38" s="173">
        <f>IF(CdTrp1!Y53=1,3,IF(CdTrp1!Y53=0.5,2,IF(CdTrp1!Y53=0,1,0)))</f>
        <v>1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0</v>
      </c>
      <c r="C39" s="190">
        <f>IF(B39=0,0,VLOOKUP(Troupeau!B3,[1]Trav!$A$108:$B$109,2))</f>
        <v>0</v>
      </c>
      <c r="D39" s="172"/>
      <c r="E39" s="172"/>
      <c r="F39" s="173">
        <f>ROUND(B39*C39/60,0)</f>
        <v>0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1</v>
      </c>
      <c r="AW40" s="173">
        <f>IF(CdTrp1!C55=1,3,IF(CdTrp1!C55=0.5,2,IF(CdTrp1!C55=0,1,0)))</f>
        <v>1</v>
      </c>
      <c r="AX40" s="173">
        <f>IF(CdTrp1!D55=1,3,IF(CdTrp1!D55=0.5,2,IF(CdTrp1!D55=0,1,0)))</f>
        <v>1</v>
      </c>
      <c r="AY40" s="173">
        <f>IF(CdTrp1!E55=1,3,IF(CdTrp1!E55=0.5,2,IF(CdTrp1!E55=0,1,0)))</f>
        <v>1</v>
      </c>
      <c r="AZ40" s="173">
        <f>IF(CdTrp1!F55=1,3,IF(CdTrp1!F55=0.5,2,IF(CdTrp1!F55=0,1,0)))</f>
        <v>1</v>
      </c>
      <c r="BA40" s="173">
        <f>IF(CdTrp1!G55=1,3,IF(CdTrp1!G55=0.5,2,IF(CdTrp1!G55=0,1,0)))</f>
        <v>1</v>
      </c>
      <c r="BB40" s="173">
        <f>IF(CdTrp1!H55=1,3,IF(CdTrp1!H55=0.5,2,IF(CdTrp1!H55=0,1,0)))</f>
        <v>1</v>
      </c>
      <c r="BC40" s="173">
        <f>IF(CdTrp1!I55=1,3,IF(CdTrp1!I55=0.5,2,IF(CdTrp1!I55=0,1,0)))</f>
        <v>1</v>
      </c>
      <c r="BD40" s="173">
        <f>IF(CdTrp1!J55=1,3,IF(CdTrp1!J55=0.5,2,IF(CdTrp1!J55=0,1,0)))</f>
        <v>1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1</v>
      </c>
      <c r="BP40" s="173">
        <f>IF(CdTrp1!V55=1,3,IF(CdTrp1!V55=0.5,2,IF(CdTrp1!V55=0,1,0)))</f>
        <v>1</v>
      </c>
      <c r="BQ40" s="173">
        <f>IF(CdTrp1!W55=1,3,IF(CdTrp1!W55=0.5,2,IF(CdTrp1!W55=0,1,0)))</f>
        <v>1</v>
      </c>
      <c r="BR40" s="173">
        <f>IF(CdTrp1!X55=1,3,IF(CdTrp1!X55=0.5,2,IF(CdTrp1!X55=0,1,0)))</f>
        <v>1</v>
      </c>
      <c r="BS40" s="173">
        <f>IF(CdTrp1!Y55=1,3,IF(CdTrp1!Y55=0.5,2,IF(CdTrp1!Y55=0,1,0)))</f>
        <v>1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2</v>
      </c>
      <c r="CU48" s="173">
        <f>IF(CdTrp2!U76=1,1,IF(CdTrp2!U76=2,2,IF(CdTrp2!U76=3,2,0)))</f>
        <v>2</v>
      </c>
      <c r="CV48" s="173">
        <f>IF(CdTrp2!V76=1,1,IF(CdTrp2!V76=2,2,IF(CdTrp2!V76=3,2,0)))</f>
        <v>2</v>
      </c>
      <c r="CW48" s="173">
        <f>IF(CdTrp2!W76=1,1,IF(CdTrp2!W76=2,2,IF(CdTrp2!W76=3,2,0)))</f>
        <v>2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1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1</v>
      </c>
      <c r="AY50" s="173">
        <f>IF(CdTrp1!E78=1,1,IF(CdTrp1!E78=2,2,IF(CdTrp1!E78=3,2,0)))</f>
        <v>1</v>
      </c>
      <c r="AZ50" s="173">
        <f>IF(CdTrp1!F78=1,1,IF(CdTrp1!F78=2,2,IF(CdTrp1!F78=3,2,0)))</f>
        <v>1</v>
      </c>
      <c r="BA50" s="173">
        <f>IF(CdTrp1!G78=1,1,IF(CdTrp1!G78=2,2,IF(CdTrp1!G78=3,2,0)))</f>
        <v>1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1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1.25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21.150000000000002</v>
      </c>
      <c r="C55" s="190">
        <f>IF(B55&gt;[1]Trav!E121,[1]Trav!C121,[1]Trav!B121)</f>
        <v>7.2</v>
      </c>
      <c r="D55"/>
      <c r="E55" s="172"/>
      <c r="F55" s="173">
        <f t="shared" si="32"/>
        <v>152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16</v>
      </c>
      <c r="C56" s="190">
        <f>IF(B56&gt;[1]Trav!E121,[1]Trav!C121,[1]Trav!B121)</f>
        <v>7.2</v>
      </c>
      <c r="D56"/>
      <c r="E56" s="172"/>
      <c r="F56" s="173">
        <f t="shared" si="32"/>
        <v>115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2.3499999999999979</v>
      </c>
      <c r="C58" s="190">
        <f>IF(B58&gt;[1]Trav!E122,[1]Trav!C122,[1]Trav!B122)</f>
        <v>4.4000000000000004</v>
      </c>
      <c r="E58" s="172"/>
      <c r="F58" s="173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0</v>
      </c>
      <c r="C59" s="190">
        <f>[1]Trav!$B$123</f>
        <v>7.2</v>
      </c>
      <c r="E59" s="172"/>
      <c r="F59" s="173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222</v>
      </c>
      <c r="CU60" s="173">
        <f>IF(CU15=0,0,IF(CU37=3,0,VALUE(CONCATENATE(Travail!CU26,Travail!CU37,Travail!CU48))))</f>
        <v>222</v>
      </c>
      <c r="CV60" s="173">
        <f>IF(CV15=0,0,IF(CV37=3,0,VALUE(CONCATENATE(Travail!CV26,Travail!CV37,Travail!CV48))))</f>
        <v>222</v>
      </c>
      <c r="CW60" s="173">
        <f>IF(CW15=0,0,IF(CW37=3,0,VALUE(CONCATENATE(Travail!CW26,Travail!CW37,Travail!CW48))))</f>
        <v>222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112</v>
      </c>
      <c r="AW61" s="173">
        <f>IF(AW16=0,0,IF(AW38=3,0,VALUE(CONCATENATE(Travail!AW27,Travail!AW38,Travail!AW49))))</f>
        <v>112</v>
      </c>
      <c r="AX61" s="173">
        <f>IF(AX16=0,0,IF(AX38=3,0,VALUE(CONCATENATE(Travail!AX27,Travail!AX38,Travail!AX49))))</f>
        <v>112</v>
      </c>
      <c r="AY61" s="173">
        <f>IF(AY16=0,0,IF(AY38=3,0,VALUE(CONCATENATE(Travail!AY27,Travail!AY38,Travail!AY49))))</f>
        <v>112</v>
      </c>
      <c r="AZ61" s="173">
        <f>IF(AZ16=0,0,IF(AZ38=3,0,VALUE(CONCATENATE(Travail!AZ27,Travail!AZ38,Travail!AZ49))))</f>
        <v>112</v>
      </c>
      <c r="BA61" s="173">
        <f>IF(BA16=0,0,IF(BA38=3,0,VALUE(CONCATENATE(Travail!BA27,Travail!BA38,Travail!BA49))))</f>
        <v>112</v>
      </c>
      <c r="BB61" s="173">
        <f>IF(BB16=0,0,IF(BB38=3,0,VALUE(CONCATENATE(Travail!BB27,Travail!BB38,Travail!BB49))))</f>
        <v>112</v>
      </c>
      <c r="BC61" s="173">
        <f>IF(BC16=0,0,IF(BC38=3,0,VALUE(CONCATENATE(Travail!BC27,Travail!BC38,Travail!BC49))))</f>
        <v>112</v>
      </c>
      <c r="BD61" s="173">
        <f>IF(BD16=0,0,IF(BD38=3,0,VALUE(CONCATENATE(Travail!BD27,Travail!BD38,Travail!BD49))))</f>
        <v>112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112</v>
      </c>
      <c r="BP61" s="173">
        <f>IF(BP16=0,0,IF(BP38=3,0,VALUE(CONCATENATE(Travail!BP27,Travail!BP38,Travail!BP49))))</f>
        <v>112</v>
      </c>
      <c r="BQ61" s="173">
        <f>IF(BQ16=0,0,IF(BQ38=3,0,VALUE(CONCATENATE(Travail!BQ27,Travail!BQ38,Travail!BQ49))))</f>
        <v>112</v>
      </c>
      <c r="BR61" s="173">
        <f>IF(BR16=0,0,IF(BR38=3,0,VALUE(CONCATENATE(Travail!BR27,Travail!BR38,Travail!BR49))))</f>
        <v>112</v>
      </c>
      <c r="BS61" s="173">
        <f>IF(BS16=0,0,IF(BS38=3,0,VALUE(CONCATENATE(Travail!BS27,Travail!BS38,Travail!BS49))))</f>
        <v>112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211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221</v>
      </c>
      <c r="BB62" s="173">
        <f>IF(BB17=0,0,IF(BB39=3,0,VALUE(CONCATENATE(Travail!BB28,Travail!BB39,Travail!BB50))))</f>
        <v>221</v>
      </c>
      <c r="BC62" s="173">
        <f>IF(BC17=0,0,IF(BC39=3,0,VALUE(CONCATENATE(Travail!BC28,Travail!BC39,Travail!BC50))))</f>
        <v>221</v>
      </c>
      <c r="BD62" s="173">
        <f>IF(BD17=0,0,IF(BD39=3,0,VALUE(CONCATENATE(Travail!BD28,Travail!BD39,Travail!BD50))))</f>
        <v>221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112</v>
      </c>
      <c r="AW63" s="173">
        <f>IF(AW18=0,0,IF(AW40=3,0,VALUE(CONCATENATE(Travail!AW29,Travail!AW40,Travail!AW51))))</f>
        <v>112</v>
      </c>
      <c r="AX63" s="173">
        <f>IF(AX18=0,0,IF(AX40=3,0,VALUE(CONCATENATE(Travail!AX29,Travail!AX40,Travail!AX51))))</f>
        <v>112</v>
      </c>
      <c r="AY63" s="173">
        <f>IF(AY18=0,0,IF(AY40=3,0,VALUE(CONCATENATE(Travail!AY29,Travail!AY40,Travail!AY51))))</f>
        <v>112</v>
      </c>
      <c r="AZ63" s="173">
        <f>IF(AZ18=0,0,IF(AZ40=3,0,VALUE(CONCATENATE(Travail!AZ29,Travail!AZ40,Travail!AZ51))))</f>
        <v>112</v>
      </c>
      <c r="BA63" s="173">
        <f>IF(BA18=0,0,IF(BA40=3,0,VALUE(CONCATENATE(Travail!BA29,Travail!BA40,Travail!BA51))))</f>
        <v>112</v>
      </c>
      <c r="BB63" s="173">
        <f>IF(BB18=0,0,IF(BB40=3,0,VALUE(CONCATENATE(Travail!BB29,Travail!BB40,Travail!BB51))))</f>
        <v>112</v>
      </c>
      <c r="BC63" s="173">
        <f>IF(BC18=0,0,IF(BC40=3,0,VALUE(CONCATENATE(Travail!BC29,Travail!BC40,Travail!BC51))))</f>
        <v>112</v>
      </c>
      <c r="BD63" s="173">
        <f>IF(BD18=0,0,IF(BD40=3,0,VALUE(CONCATENATE(Travail!BD29,Travail!BD40,Travail!BD51))))</f>
        <v>111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112</v>
      </c>
      <c r="BP63" s="173">
        <f>IF(BP18=0,0,IF(BP40=3,0,VALUE(CONCATENATE(Travail!BP29,Travail!BP40,Travail!BP51))))</f>
        <v>112</v>
      </c>
      <c r="BQ63" s="173">
        <f>IF(BQ18=0,0,IF(BQ40=3,0,VALUE(CONCATENATE(Travail!BQ29,Travail!BQ40,Travail!BQ51))))</f>
        <v>112</v>
      </c>
      <c r="BR63" s="173">
        <f>IF(BR18=0,0,IF(BR40=3,0,VALUE(CONCATENATE(Travail!BR29,Travail!BR40,Travail!BR51))))</f>
        <v>112</v>
      </c>
      <c r="BS63" s="173">
        <f>IF(BS18=0,0,IF(BS40=3,0,VALUE(CONCATENATE(Travail!BS29,Travail!BS40,Travail!BS51))))</f>
        <v>112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11</v>
      </c>
      <c r="AW72" s="173">
        <f t="shared" si="36"/>
        <v>11</v>
      </c>
      <c r="AX72" s="173">
        <f t="shared" si="36"/>
        <v>11</v>
      </c>
      <c r="AY72" s="173">
        <f t="shared" si="36"/>
        <v>11</v>
      </c>
      <c r="AZ72" s="173">
        <f t="shared" si="36"/>
        <v>11</v>
      </c>
      <c r="BA72" s="173">
        <f t="shared" si="36"/>
        <v>11</v>
      </c>
      <c r="BB72" s="173">
        <f t="shared" si="36"/>
        <v>11</v>
      </c>
      <c r="BC72" s="173">
        <f t="shared" si="36"/>
        <v>11</v>
      </c>
      <c r="BD72" s="173">
        <f t="shared" si="36"/>
        <v>11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11</v>
      </c>
      <c r="BP72" s="173">
        <f t="shared" si="36"/>
        <v>11</v>
      </c>
      <c r="BQ72" s="173">
        <f t="shared" si="36"/>
        <v>11</v>
      </c>
      <c r="BR72" s="173">
        <f t="shared" si="36"/>
        <v>11</v>
      </c>
      <c r="BS72" s="173">
        <f t="shared" si="36"/>
        <v>11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22</v>
      </c>
      <c r="BB73" s="173">
        <f t="shared" si="36"/>
        <v>22</v>
      </c>
      <c r="BC73" s="173">
        <f t="shared" si="36"/>
        <v>22</v>
      </c>
      <c r="BD73" s="173">
        <f t="shared" si="36"/>
        <v>22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11</v>
      </c>
      <c r="AW74" s="173">
        <f t="shared" si="36"/>
        <v>11</v>
      </c>
      <c r="AX74" s="173">
        <f t="shared" si="36"/>
        <v>11</v>
      </c>
      <c r="AY74" s="173">
        <f t="shared" si="36"/>
        <v>11</v>
      </c>
      <c r="AZ74" s="173">
        <f t="shared" si="36"/>
        <v>11</v>
      </c>
      <c r="BA74" s="173">
        <f t="shared" si="36"/>
        <v>11</v>
      </c>
      <c r="BB74" s="173">
        <f t="shared" si="36"/>
        <v>11</v>
      </c>
      <c r="BC74" s="173">
        <f t="shared" si="36"/>
        <v>11</v>
      </c>
      <c r="BD74" s="173">
        <f t="shared" si="36"/>
        <v>11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11</v>
      </c>
      <c r="BP74" s="173">
        <f t="shared" si="36"/>
        <v>11</v>
      </c>
      <c r="BQ74" s="173">
        <f t="shared" si="36"/>
        <v>11</v>
      </c>
      <c r="BR74" s="173">
        <f t="shared" si="36"/>
        <v>11</v>
      </c>
      <c r="BS74" s="173">
        <f t="shared" si="36"/>
        <v>11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0</v>
      </c>
      <c r="G75" s="198">
        <f>IF(Protection!C195=0,0,[1]Protect!$B$9*Protection!C195*14)</f>
        <v>10.5</v>
      </c>
      <c r="H75" s="198">
        <f>IF(Protection!D195=0,0,[1]Protect!$B$9*Protection!D195*14)</f>
        <v>10.5</v>
      </c>
      <c r="I75" s="198">
        <f>IF(Protection!E195=0,0,[1]Protect!$B$9*Protection!E195*14)</f>
        <v>10.5</v>
      </c>
      <c r="J75" s="198">
        <f>IF(Protection!F195=0,0,[1]Protect!$B$9*Protection!F195*14)</f>
        <v>10.5</v>
      </c>
      <c r="K75" s="198">
        <f>IF(Protection!G195=0,0,[1]Protect!$B$9*Protection!G195*14)</f>
        <v>10.5</v>
      </c>
      <c r="L75" s="198">
        <f>IF(Protection!H195=0,0,[1]Protect!$B$9*Protection!H195*14)</f>
        <v>10.5</v>
      </c>
      <c r="M75" s="198">
        <f>IF(Protection!I195=0,0,[1]Protect!$B$9*Protection!I195*14)</f>
        <v>10.5</v>
      </c>
      <c r="N75" s="198">
        <f>IF(Protection!J195=0,0,[1]Protect!$B$9*Protection!J195*14)</f>
        <v>10.5</v>
      </c>
      <c r="O75" s="198">
        <f>IF(Protection!K195=0,0,[1]Protect!$B$9*Protection!K195*14)</f>
        <v>10.5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10.5</v>
      </c>
      <c r="AA75" s="198">
        <f>IF(Protection!W195=0,0,[1]Protect!$B$9*Protection!W195*14)</f>
        <v>10.5</v>
      </c>
      <c r="AB75" s="198">
        <f>IF(Protection!X195=0,0,[1]Protect!$B$9*Protection!X195*14)</f>
        <v>10.5</v>
      </c>
      <c r="AC75" s="198">
        <f>IF(Protection!Y195=0,0,[1]Protect!$B$9*Protection!Y195*14)</f>
        <v>10.5</v>
      </c>
      <c r="AD75" s="198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3.5</v>
      </c>
      <c r="S76" s="198">
        <f>IF(Protection!O196=0,0,[1]Protect!$B$9*Protection!O196*14)</f>
        <v>3.5</v>
      </c>
      <c r="T76" s="198">
        <f>IF(Protection!P196=0,0,[1]Protect!$B$9*Protection!P196*14)</f>
        <v>3.5</v>
      </c>
      <c r="U76" s="198">
        <f>IF(Protection!Q196=0,0,[1]Protect!$B$9*Protection!Q196*14)</f>
        <v>3.5</v>
      </c>
      <c r="V76" s="198">
        <f>IF(Protection!R196=0,0,[1]Protect!$B$9*Protection!R196*14)</f>
        <v>3.5</v>
      </c>
      <c r="W76" s="198">
        <f>IF(Protection!S196=0,0,[1]Protect!$B$9*Protection!S196*14)</f>
        <v>3.5</v>
      </c>
      <c r="X76" s="198">
        <f>IF(Protection!T196=0,0,[1]Protect!$B$9*Protection!T196*14)</f>
        <v>3.5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3.5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3.5</v>
      </c>
      <c r="Z77" s="46">
        <f t="shared" si="43"/>
        <v>10.5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</v>
      </c>
      <c r="C81" s="190">
        <f>[1]Protect!$B$10</f>
        <v>4</v>
      </c>
      <c r="D81" s="172"/>
      <c r="E81" s="172"/>
      <c r="F81" s="173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1</v>
      </c>
      <c r="AZ81" s="173">
        <f t="shared" si="44"/>
        <v>1</v>
      </c>
      <c r="BA81" s="173">
        <f t="shared" si="44"/>
        <v>0</v>
      </c>
      <c r="BB81" s="173">
        <f t="shared" si="44"/>
        <v>0</v>
      </c>
      <c r="BC81" s="173">
        <f t="shared" si="44"/>
        <v>0</v>
      </c>
      <c r="BD81" s="173">
        <f t="shared" si="44"/>
        <v>0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1</v>
      </c>
      <c r="AZ83" s="173">
        <f t="shared" si="50"/>
        <v>1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1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21</v>
      </c>
      <c r="BB86" s="190">
        <f>IF(BB85=0,0,HLOOKUP(BB85,[1]Trav!$C$39:$G$59,$AU$105))</f>
        <v>21</v>
      </c>
      <c r="BC86" s="190">
        <f>IF(BC85=0,0,HLOOKUP(BC85,[1]Trav!$C$39:$G$59,$AU$105))</f>
        <v>21</v>
      </c>
      <c r="BD86" s="190">
        <f>IF(BD85=0,0,HLOOKUP(BD85,[1]Trav!$C$39:$G$59,$AU$105))</f>
        <v>21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1389.1000869565219</v>
      </c>
      <c r="C91" s="5"/>
      <c r="D91" s="202">
        <f>B91/Troupeau!$B$17</f>
        <v>4.5694081807780327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0</v>
      </c>
      <c r="AW91" s="173">
        <f t="shared" si="60"/>
        <v>0</v>
      </c>
      <c r="AX91" s="173">
        <f t="shared" si="60"/>
        <v>0</v>
      </c>
      <c r="AY91" s="173">
        <f t="shared" si="60"/>
        <v>0</v>
      </c>
      <c r="AZ91" s="173">
        <f t="shared" si="60"/>
        <v>0</v>
      </c>
      <c r="BA91" s="173">
        <f t="shared" si="60"/>
        <v>0</v>
      </c>
      <c r="BB91" s="173">
        <f t="shared" si="60"/>
        <v>0</v>
      </c>
      <c r="BC91" s="173">
        <f t="shared" si="60"/>
        <v>0</v>
      </c>
      <c r="BD91" s="173">
        <f t="shared" si="60"/>
        <v>0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0</v>
      </c>
      <c r="BQ91" s="173">
        <f t="shared" si="60"/>
        <v>0</v>
      </c>
      <c r="BR91" s="173">
        <f t="shared" si="60"/>
        <v>0</v>
      </c>
      <c r="BS91" s="173">
        <f t="shared" si="60"/>
        <v>0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673.05</v>
      </c>
      <c r="C92" s="5"/>
      <c r="D92" s="202">
        <f>IF(B92=0,0,B92/Troupeau!$C$17)</f>
        <v>35.423684210526311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0</v>
      </c>
      <c r="AW93" s="173">
        <f t="shared" si="60"/>
        <v>0</v>
      </c>
      <c r="AX93" s="173">
        <f t="shared" si="60"/>
        <v>0</v>
      </c>
      <c r="AY93" s="173">
        <f t="shared" si="60"/>
        <v>0</v>
      </c>
      <c r="AZ93" s="173">
        <f t="shared" si="60"/>
        <v>0</v>
      </c>
      <c r="BA93" s="173">
        <f t="shared" si="60"/>
        <v>0</v>
      </c>
      <c r="BB93" s="173">
        <f t="shared" si="60"/>
        <v>0</v>
      </c>
      <c r="BC93" s="173">
        <f t="shared" si="60"/>
        <v>0</v>
      </c>
      <c r="BD93" s="173">
        <f t="shared" si="60"/>
        <v>0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0</v>
      </c>
      <c r="BS93" s="173">
        <f t="shared" si="60"/>
        <v>0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2062.1500869565216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58.8</v>
      </c>
      <c r="C95" s="5"/>
      <c r="D95" s="202">
        <f>B95/Troupeau!$B$17</f>
        <v>0.19342105263157894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96</v>
      </c>
      <c r="C96" s="5"/>
      <c r="D96" s="202">
        <f>IF(B96=0,0,B96/Troupeau!$C$17)</f>
        <v>5.0526315789473681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154.80000000000001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1391.35</v>
      </c>
      <c r="C99" s="5"/>
      <c r="D99" s="202">
        <f>B99/Troupeau!$B$17</f>
        <v>4.5768092105263154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333.07826086956521</v>
      </c>
      <c r="AW99" s="62">
        <f t="shared" ref="AW99:BS99" si="68">SUM(AW90:AW98)</f>
        <v>330.43478260869568</v>
      </c>
      <c r="AX99" s="62">
        <f t="shared" si="68"/>
        <v>327.7913043478261</v>
      </c>
      <c r="AY99" s="62">
        <f t="shared" si="68"/>
        <v>326.46956521739133</v>
      </c>
      <c r="AZ99" s="62">
        <f t="shared" si="68"/>
        <v>325.14782608695651</v>
      </c>
      <c r="BA99" s="62">
        <f t="shared" si="68"/>
        <v>323.82608695652175</v>
      </c>
      <c r="BB99" s="62">
        <f t="shared" si="68"/>
        <v>322.50434782608698</v>
      </c>
      <c r="BC99" s="62">
        <f t="shared" si="68"/>
        <v>321.18260869565216</v>
      </c>
      <c r="BD99" s="62">
        <f t="shared" si="68"/>
        <v>318.53913043478263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68.730434782608697</v>
      </c>
      <c r="BH99" s="62">
        <f t="shared" si="68"/>
        <v>68.730434782608697</v>
      </c>
      <c r="BI99" s="62">
        <f t="shared" si="68"/>
        <v>68.730434782608697</v>
      </c>
      <c r="BJ99" s="62">
        <f t="shared" si="68"/>
        <v>68.730434782608697</v>
      </c>
      <c r="BK99" s="62">
        <f t="shared" si="68"/>
        <v>68.730434782608697</v>
      </c>
      <c r="BL99" s="62">
        <f t="shared" si="68"/>
        <v>68.730434782608697</v>
      </c>
      <c r="BM99" s="62">
        <f t="shared" si="68"/>
        <v>68.730434782608697</v>
      </c>
      <c r="BN99" s="62">
        <f t="shared" si="68"/>
        <v>323.82608695652175</v>
      </c>
      <c r="BO99" s="62">
        <f t="shared" si="68"/>
        <v>278.88695652173914</v>
      </c>
      <c r="BP99" s="62">
        <f t="shared" si="68"/>
        <v>278.88695652173914</v>
      </c>
      <c r="BQ99" s="62">
        <f t="shared" si="68"/>
        <v>333.07826086956521</v>
      </c>
      <c r="BR99" s="62">
        <f t="shared" si="68"/>
        <v>333.07826086956521</v>
      </c>
      <c r="BS99" s="62">
        <f t="shared" si="68"/>
        <v>333.07826086956521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90</v>
      </c>
      <c r="C100" s="5"/>
      <c r="D100" s="202">
        <f>IF(B100=0,0,B100/Troupeau!$C$17)</f>
        <v>4.7368421052631575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6.6615652173913045</v>
      </c>
      <c r="AW100" s="173">
        <f t="shared" ref="AW100:BS100" si="71">IF($AT$2="OL",AW99/50,AW99/10)</f>
        <v>6.608695652173914</v>
      </c>
      <c r="AX100" s="173">
        <f t="shared" si="71"/>
        <v>6.5558260869565217</v>
      </c>
      <c r="AY100" s="173">
        <f t="shared" si="71"/>
        <v>6.5293913043478264</v>
      </c>
      <c r="AZ100" s="173">
        <f t="shared" si="71"/>
        <v>6.5029565217391303</v>
      </c>
      <c r="BA100" s="173">
        <f t="shared" si="71"/>
        <v>6.4765217391304351</v>
      </c>
      <c r="BB100" s="173">
        <f t="shared" si="71"/>
        <v>6.4500869565217398</v>
      </c>
      <c r="BC100" s="173">
        <f t="shared" si="71"/>
        <v>6.4236521739130437</v>
      </c>
      <c r="BD100" s="173">
        <f t="shared" si="71"/>
        <v>6.3707826086956523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1.3746086956521739</v>
      </c>
      <c r="BH100" s="173">
        <f t="shared" si="71"/>
        <v>1.3746086956521739</v>
      </c>
      <c r="BI100" s="173">
        <f t="shared" si="71"/>
        <v>1.3746086956521739</v>
      </c>
      <c r="BJ100" s="173">
        <f t="shared" si="71"/>
        <v>1.3746086956521739</v>
      </c>
      <c r="BK100" s="173">
        <f t="shared" si="71"/>
        <v>1.3746086956521739</v>
      </c>
      <c r="BL100" s="173">
        <f t="shared" si="71"/>
        <v>1.3746086956521739</v>
      </c>
      <c r="BM100" s="173">
        <f t="shared" si="71"/>
        <v>1.3746086956521739</v>
      </c>
      <c r="BN100" s="173">
        <f t="shared" si="71"/>
        <v>6.4765217391304351</v>
      </c>
      <c r="BO100" s="173">
        <f t="shared" si="71"/>
        <v>5.5777391304347823</v>
      </c>
      <c r="BP100" s="173">
        <f t="shared" si="71"/>
        <v>5.5777391304347823</v>
      </c>
      <c r="BQ100" s="173">
        <f t="shared" si="71"/>
        <v>6.6615652173913045</v>
      </c>
      <c r="BR100" s="173">
        <f t="shared" si="71"/>
        <v>6.6615652173913045</v>
      </c>
      <c r="BS100" s="173">
        <f t="shared" si="71"/>
        <v>6.6615652173913045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5.6615652173913045</v>
      </c>
      <c r="AW101" s="173">
        <f t="shared" ref="AW101:BS101" si="74">IF(AW100&gt;1,AW100-1,0)</f>
        <v>5.608695652173914</v>
      </c>
      <c r="AX101" s="173">
        <f t="shared" si="74"/>
        <v>5.5558260869565217</v>
      </c>
      <c r="AY101" s="173">
        <f t="shared" si="74"/>
        <v>5.5293913043478264</v>
      </c>
      <c r="AZ101" s="173">
        <f t="shared" si="74"/>
        <v>5.5029565217391303</v>
      </c>
      <c r="BA101" s="173">
        <f t="shared" si="74"/>
        <v>5.4765217391304351</v>
      </c>
      <c r="BB101" s="173">
        <f t="shared" si="74"/>
        <v>5.4500869565217398</v>
      </c>
      <c r="BC101" s="173">
        <f t="shared" si="74"/>
        <v>5.4236521739130437</v>
      </c>
      <c r="BD101" s="173">
        <f t="shared" si="74"/>
        <v>5.3707826086956523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0.37460869565217392</v>
      </c>
      <c r="BH101" s="173">
        <f t="shared" si="74"/>
        <v>0.37460869565217392</v>
      </c>
      <c r="BI101" s="173">
        <f t="shared" si="74"/>
        <v>0.37460869565217392</v>
      </c>
      <c r="BJ101" s="173">
        <f t="shared" si="74"/>
        <v>0.37460869565217392</v>
      </c>
      <c r="BK101" s="173">
        <f t="shared" si="74"/>
        <v>0.37460869565217392</v>
      </c>
      <c r="BL101" s="173">
        <f t="shared" si="74"/>
        <v>0.37460869565217392</v>
      </c>
      <c r="BM101" s="173">
        <f t="shared" si="74"/>
        <v>0.37460869565217392</v>
      </c>
      <c r="BN101" s="173">
        <f t="shared" si="74"/>
        <v>5.4765217391304351</v>
      </c>
      <c r="BO101" s="173">
        <f t="shared" si="74"/>
        <v>4.5777391304347823</v>
      </c>
      <c r="BP101" s="173">
        <f t="shared" si="74"/>
        <v>4.5777391304347823</v>
      </c>
      <c r="BQ101" s="173">
        <f t="shared" si="74"/>
        <v>5.6615652173913045</v>
      </c>
      <c r="BR101" s="173">
        <f t="shared" si="74"/>
        <v>5.6615652173913045</v>
      </c>
      <c r="BS101" s="173">
        <f t="shared" si="74"/>
        <v>5.6615652173913045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1481.35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51.907739130434784</v>
      </c>
      <c r="AW102" s="62">
        <f t="shared" ref="AW102:BS102" si="77">AW86+AW87*AW101</f>
        <v>51.815217391304351</v>
      </c>
      <c r="AX102" s="62">
        <f t="shared" si="77"/>
        <v>51.722695652173911</v>
      </c>
      <c r="AY102" s="62">
        <f t="shared" si="77"/>
        <v>51.676434782608695</v>
      </c>
      <c r="AZ102" s="62">
        <f t="shared" si="77"/>
        <v>51.630173913043478</v>
      </c>
      <c r="BA102" s="62">
        <f t="shared" si="77"/>
        <v>30.583913043478262</v>
      </c>
      <c r="BB102" s="62">
        <f t="shared" si="77"/>
        <v>30.537652173913045</v>
      </c>
      <c r="BC102" s="62">
        <f t="shared" si="77"/>
        <v>30.491391304347829</v>
      </c>
      <c r="BD102" s="62">
        <f t="shared" si="77"/>
        <v>30.398869565217392</v>
      </c>
      <c r="BE102" s="62">
        <f t="shared" si="77"/>
        <v>30.583913043478262</v>
      </c>
      <c r="BF102" s="62">
        <f t="shared" si="77"/>
        <v>30.583913043478262</v>
      </c>
      <c r="BG102" s="62">
        <f t="shared" si="77"/>
        <v>21.655565217391306</v>
      </c>
      <c r="BH102" s="62">
        <f t="shared" si="77"/>
        <v>21.655565217391306</v>
      </c>
      <c r="BI102" s="62">
        <f t="shared" si="77"/>
        <v>21.655565217391306</v>
      </c>
      <c r="BJ102" s="62">
        <f t="shared" si="77"/>
        <v>21.655565217391306</v>
      </c>
      <c r="BK102" s="62">
        <f t="shared" si="77"/>
        <v>21.655565217391306</v>
      </c>
      <c r="BL102" s="62">
        <f t="shared" si="77"/>
        <v>21.655565217391306</v>
      </c>
      <c r="BM102" s="62">
        <f t="shared" si="77"/>
        <v>21.655565217391306</v>
      </c>
      <c r="BN102" s="62">
        <f t="shared" si="77"/>
        <v>30.583913043478262</v>
      </c>
      <c r="BO102" s="62">
        <f t="shared" si="77"/>
        <v>29.01104347826087</v>
      </c>
      <c r="BP102" s="62">
        <f t="shared" si="77"/>
        <v>50.011043478260873</v>
      </c>
      <c r="BQ102" s="62">
        <f t="shared" si="77"/>
        <v>51.907739130434784</v>
      </c>
      <c r="BR102" s="62">
        <f t="shared" si="77"/>
        <v>51.907739130434784</v>
      </c>
      <c r="BS102" s="62">
        <f t="shared" si="77"/>
        <v>51.907739130434784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0</v>
      </c>
      <c r="C103" s="5"/>
      <c r="D103" s="202">
        <f>B103/Troupeau!$B$17</f>
        <v>0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0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14</v>
      </c>
      <c r="CU106" s="190">
        <f>IF(CU60&gt;0,HLOOKUP(CU60,[1]Trav!$C$11:$O$31,$CA$105),0)</f>
        <v>14</v>
      </c>
      <c r="CV106" s="190">
        <f>IF(CV60&gt;0,HLOOKUP(CV60,[1]Trav!$C$11:$O$31,$CA$105),0)</f>
        <v>14</v>
      </c>
      <c r="CW106" s="190">
        <f>IF(CW60&gt;0,HLOOKUP(CW60,[1]Trav!$C$11:$O$31,$CA$105),0)</f>
        <v>14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7</v>
      </c>
      <c r="AW107" s="190">
        <f>IF(AW61&gt;0,HLOOKUP(AW61,[1]Trav!$C$11:$O$31,$AU$105),0)</f>
        <v>7</v>
      </c>
      <c r="AX107" s="190">
        <f>IF(AX61&gt;0,HLOOKUP(AX61,[1]Trav!$C$11:$O$31,$AU$105),0)</f>
        <v>7</v>
      </c>
      <c r="AY107" s="190">
        <f>IF(AY61&gt;0,HLOOKUP(AY61,[1]Trav!$C$11:$O$31,$AU$105),0)</f>
        <v>7</v>
      </c>
      <c r="AZ107" s="190">
        <f>IF(AZ61&gt;0,HLOOKUP(AZ61,[1]Trav!$C$11:$O$31,$AU$105),0)</f>
        <v>7</v>
      </c>
      <c r="BA107" s="190">
        <f>IF(BA61&gt;0,HLOOKUP(BA61,[1]Trav!$C$11:$O$31,$AU$105),0)</f>
        <v>7</v>
      </c>
      <c r="BB107" s="190">
        <f>IF(BB61&gt;0,HLOOKUP(BB61,[1]Trav!$C$11:$O$31,$AU$105),0)</f>
        <v>7</v>
      </c>
      <c r="BC107" s="190">
        <f>IF(BC61&gt;0,HLOOKUP(BC61,[1]Trav!$C$11:$O$31,$AU$105),0)</f>
        <v>7</v>
      </c>
      <c r="BD107" s="190">
        <f>IF(BD61&gt;0,HLOOKUP(BD61,[1]Trav!$C$11:$O$31,$AU$105),0)</f>
        <v>7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7</v>
      </c>
      <c r="BP107" s="190">
        <f>IF(BP61&gt;0,HLOOKUP(BP61,[1]Trav!$C$11:$O$31,$AU$105),0)</f>
        <v>7</v>
      </c>
      <c r="BQ107" s="190">
        <f>IF(BQ61&gt;0,HLOOKUP(BQ61,[1]Trav!$C$11:$O$31,$AU$105),0)</f>
        <v>7</v>
      </c>
      <c r="BR107" s="190">
        <f>IF(BR61&gt;0,HLOOKUP(BR61,[1]Trav!$C$11:$O$31,$AU$105),0)</f>
        <v>7</v>
      </c>
      <c r="BS107" s="190">
        <f>IF(BS61&gt;0,HLOOKUP(BS61,[1]Trav!$C$11:$O$31,$AU$105),0)</f>
        <v>7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3.5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333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14</v>
      </c>
      <c r="BB108" s="190">
        <f>IF(BB62&gt;0,HLOOKUP(BB62,[1]Trav!$C$11:$O$31,$AU$105),0)</f>
        <v>14</v>
      </c>
      <c r="BC108" s="190">
        <f>IF(BC62&gt;0,HLOOKUP(BC62,[1]Trav!$C$11:$O$31,$AU$105),0)</f>
        <v>14</v>
      </c>
      <c r="BD108" s="190">
        <f>IF(BD62&gt;0,HLOOKUP(BD62,[1]Trav!$C$11:$O$31,$AU$105),0)</f>
        <v>14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7</v>
      </c>
      <c r="AW109" s="190">
        <f>IF(AW63&gt;0,HLOOKUP(AW63,[1]Trav!$C$11:$O$31,$AU$105),0)</f>
        <v>7</v>
      </c>
      <c r="AX109" s="190">
        <f>IF(AX63&gt;0,HLOOKUP(AX63,[1]Trav!$C$11:$O$31,$AU$105),0)</f>
        <v>7</v>
      </c>
      <c r="AY109" s="190">
        <f>IF(AY63&gt;0,HLOOKUP(AY63,[1]Trav!$C$11:$O$31,$AU$105),0)</f>
        <v>7</v>
      </c>
      <c r="AZ109" s="190">
        <f>IF(AZ63&gt;0,HLOOKUP(AZ63,[1]Trav!$C$11:$O$31,$AU$105),0)</f>
        <v>7</v>
      </c>
      <c r="BA109" s="190">
        <f>IF(BA63&gt;0,HLOOKUP(BA63,[1]Trav!$C$11:$O$31,$AU$105),0)</f>
        <v>7</v>
      </c>
      <c r="BB109" s="190">
        <f>IF(BB63&gt;0,HLOOKUP(BB63,[1]Trav!$C$11:$O$31,$AU$105),0)</f>
        <v>7</v>
      </c>
      <c r="BC109" s="190">
        <f>IF(BC63&gt;0,HLOOKUP(BC63,[1]Trav!$C$11:$O$31,$AU$105),0)</f>
        <v>7</v>
      </c>
      <c r="BD109" s="190">
        <f>IF(BD63&gt;0,HLOOKUP(BD63,[1]Trav!$C$11:$O$31,$AU$105),0)</f>
        <v>5.25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7</v>
      </c>
      <c r="BP109" s="190">
        <f>IF(BP63&gt;0,HLOOKUP(BP63,[1]Trav!$C$11:$O$31,$AU$105),0)</f>
        <v>7</v>
      </c>
      <c r="BQ109" s="190">
        <f>IF(BQ63&gt;0,HLOOKUP(BQ63,[1]Trav!$C$11:$O$31,$AU$105),0)</f>
        <v>7</v>
      </c>
      <c r="BR109" s="190">
        <f>IF(BR63&gt;0,HLOOKUP(BR63,[1]Trav!$C$11:$O$31,$AU$105),0)</f>
        <v>7</v>
      </c>
      <c r="BS109" s="190">
        <f>IF(BS63&gt;0,HLOOKUP(BS63,[1]Trav!$C$11:$O$31,$AU$105),0)</f>
        <v>7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42</v>
      </c>
      <c r="BB117" s="173">
        <f t="shared" si="83"/>
        <v>42</v>
      </c>
      <c r="BC117" s="173">
        <f t="shared" si="83"/>
        <v>42</v>
      </c>
      <c r="BD117" s="173">
        <f t="shared" si="83"/>
        <v>40.25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8.75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8.75</v>
      </c>
      <c r="CM117" s="173">
        <f t="shared" si="84"/>
        <v>8.75</v>
      </c>
      <c r="CN117" s="173">
        <f t="shared" si="84"/>
        <v>8.75</v>
      </c>
      <c r="CO117" s="173">
        <f t="shared" si="84"/>
        <v>8.75</v>
      </c>
      <c r="CP117" s="173">
        <f t="shared" si="84"/>
        <v>8.75</v>
      </c>
      <c r="CQ117" s="173">
        <f t="shared" si="84"/>
        <v>8.75</v>
      </c>
      <c r="CR117" s="173">
        <f t="shared" si="84"/>
        <v>8.75</v>
      </c>
      <c r="CS117" s="173">
        <f t="shared" si="84"/>
        <v>8.75</v>
      </c>
      <c r="CT117" s="173">
        <f t="shared" si="84"/>
        <v>22.75</v>
      </c>
      <c r="CU117" s="173">
        <f t="shared" si="84"/>
        <v>21</v>
      </c>
      <c r="CV117" s="173">
        <f t="shared" si="84"/>
        <v>28</v>
      </c>
      <c r="CW117" s="173">
        <f t="shared" si="84"/>
        <v>28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2839.250086956522</v>
      </c>
      <c r="D118" s="202">
        <f>B118/Troupeau!$B$17</f>
        <v>9.339638443935927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859.05</v>
      </c>
      <c r="D119" s="202">
        <f>IF(B119=0,0,B119/Troupeau!$C$17)</f>
        <v>45.213157894736838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3698.3000869565221</v>
      </c>
    </row>
    <row r="123" spans="1:132" x14ac:dyDescent="0.25">
      <c r="A123" s="2" t="s">
        <v>856</v>
      </c>
      <c r="B123" s="30">
        <f>B108</f>
        <v>333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1">
        <f>SUM(B122:B126)</f>
        <v>4631.3000869565221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1">
        <f>ROUND((B128-B129)/(Scénario!K4+Scénario!K6),0)</f>
        <v>3088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198" zoomScale="90" zoomScaleNormal="90" workbookViewId="0">
      <selection activeCell="T41" sqref="T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40280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42858</v>
      </c>
      <c r="K5" s="173">
        <f>ROUND(B5*F5/1000,0)</f>
        <v>42858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0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0</v>
      </c>
      <c r="K6" s="173">
        <f>ROUND(B6*F6/1000,0)</f>
        <v>0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40280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0</v>
      </c>
      <c r="AC7" s="30" t="str">
        <f>LEFT(Alim_Surf!B35,10)</f>
        <v>0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139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874.80000000000007</v>
      </c>
      <c r="H9" s="190">
        <f>HLOOKUP(Troupeau!$L$17,[1]Anx!$A$122:$CO$164,'Calcul éco'!$O9)</f>
        <v>8</v>
      </c>
      <c r="I9" s="172"/>
      <c r="J9" s="173">
        <f>ROUND((B9*F9+C9*G9+D9*H9+E9*I9),0)</f>
        <v>11100</v>
      </c>
      <c r="K9" s="173">
        <f>ROUND(B9*F9,0)</f>
        <v>5414</v>
      </c>
      <c r="L9" s="173">
        <f t="shared" ref="L9:M16" si="5">ROUND(C9*G9,0)</f>
        <v>5686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70</v>
      </c>
      <c r="C10" s="173">
        <f>Troupeau!C39</f>
        <v>2.5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697.5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4470</v>
      </c>
      <c r="K10" s="173">
        <f t="shared" ref="K10:K16" si="7">ROUND(B10*F10,0)</f>
        <v>2727</v>
      </c>
      <c r="L10" s="173">
        <f t="shared" si="5"/>
        <v>1744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39</v>
      </c>
      <c r="U11" s="173">
        <f>Troupeau!C37</f>
        <v>4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39</v>
      </c>
      <c r="C13" s="173">
        <f>U11-C14</f>
        <v>4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1028</v>
      </c>
      <c r="H13" s="190">
        <f>HLOOKUP(Troupeau!$L$17,[1]Anx!$A$122:$CO$164,'Calcul éco'!$O13)</f>
        <v>28</v>
      </c>
      <c r="I13" s="172"/>
      <c r="J13" s="173">
        <f t="shared" si="6"/>
        <v>5146</v>
      </c>
      <c r="K13" s="173">
        <f t="shared" si="7"/>
        <v>1034</v>
      </c>
      <c r="L13" s="173">
        <f t="shared" si="5"/>
        <v>4112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-500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-1750</v>
      </c>
      <c r="K16" s="173">
        <f t="shared" si="7"/>
        <v>-1750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-9.8000000000000007</v>
      </c>
      <c r="S16" s="5">
        <f>IF(R16&gt;0,R16,0)</f>
        <v>0</v>
      </c>
      <c r="T16" s="5">
        <f>IF(R16&lt;0,-R16,0)</f>
        <v>9.8000000000000007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-9.8000000000000007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0.59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117.44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8200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117.44</v>
      </c>
      <c r="AA39" s="14" t="s">
        <v>979</v>
      </c>
      <c r="AB39" s="173">
        <f>IF(Z39&gt;50,25,IF(Z39&gt;25,Z39-25,0))</f>
        <v>25</v>
      </c>
      <c r="AC39" s="173">
        <f>AC40+0.66*AC36</f>
        <v>240.28</v>
      </c>
      <c r="AD39" s="173">
        <f t="shared" ref="AD39:AD40" si="21">AB39*AC39</f>
        <v>6007</v>
      </c>
      <c r="AE39" s="282">
        <f>IF($AJ$40=0,AB39*$AC$40,AD39*$AJ$40/100)</f>
        <v>6007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1439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15957</v>
      </c>
      <c r="AE41" s="283">
        <f>ROUND(SUM(AE38:AE40)*T25,0)</f>
        <v>15957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117.44</v>
      </c>
      <c r="C42" s="215">
        <f>[1]Eco!$B$24</f>
        <v>97</v>
      </c>
      <c r="J42" s="173">
        <f>B42*C42</f>
        <v>11391.68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117.44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7868.48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15957</v>
      </c>
      <c r="K45" s="173"/>
      <c r="L45" s="173"/>
      <c r="M45" s="173"/>
      <c r="N45" s="173"/>
      <c r="O45" s="210"/>
      <c r="U45" s="14" t="s">
        <v>990</v>
      </c>
      <c r="V45" s="173">
        <f>S55</f>
        <v>81.78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117.44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23.149999999999995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23.149999999999995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13.920159999999999</v>
      </c>
      <c r="BJ47" s="217">
        <f>CdTrp2!C39</f>
        <v>13.862399999999999</v>
      </c>
      <c r="BK47" s="217">
        <f>CdTrp2!D39</f>
        <v>13.862399999999999</v>
      </c>
      <c r="BL47" s="217">
        <f>CdTrp2!E39</f>
        <v>13.862399999999999</v>
      </c>
      <c r="BM47" s="217">
        <f>CdTrp2!F39</f>
        <v>13.862399999999999</v>
      </c>
      <c r="BN47" s="217">
        <f>CdTrp2!G39</f>
        <v>13.05376</v>
      </c>
      <c r="BO47" s="217">
        <f>CdTrp2!H39</f>
        <v>12.793839999999999</v>
      </c>
      <c r="BP47" s="217">
        <f>CdTrp2!I39</f>
        <v>12.53392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11.95632</v>
      </c>
      <c r="CB47" s="217">
        <f>CdTrp2!U39</f>
        <v>12.284640000000001</v>
      </c>
      <c r="CC47" s="217">
        <f>CdTrp2!V39</f>
        <v>13.313679999999998</v>
      </c>
      <c r="CD47" s="217">
        <f>CdTrp2!W39</f>
        <v>13.573599999999999</v>
      </c>
      <c r="CE47" s="217">
        <f>CdTrp2!X39</f>
        <v>13.833519999999998</v>
      </c>
      <c r="CF47" s="217">
        <f>CdTrp2!Y39</f>
        <v>14.093439999999999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110223.36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55.131999999999998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55.131999999999998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126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48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70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174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81.78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9.8000000000000007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1960.0000000000002</v>
      </c>
      <c r="K82" s="173">
        <f>$C82*D82</f>
        <v>1960.0000000000002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9.8000000000000007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15.9</v>
      </c>
      <c r="E92" s="173">
        <f t="shared" si="33"/>
        <v>0</v>
      </c>
      <c r="F92" s="173">
        <f t="shared" si="33"/>
        <v>0</v>
      </c>
      <c r="J92" s="173">
        <f t="shared" si="36"/>
        <v>6614.4000000000005</v>
      </c>
      <c r="K92" s="173">
        <f t="shared" si="37"/>
        <v>6614.4000000000005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2.9</v>
      </c>
      <c r="E94" s="173">
        <f t="shared" si="33"/>
        <v>0</v>
      </c>
      <c r="F94" s="173">
        <f t="shared" si="33"/>
        <v>0</v>
      </c>
      <c r="J94" s="173">
        <f t="shared" si="36"/>
        <v>893.19999999999993</v>
      </c>
      <c r="K94" s="173">
        <f t="shared" si="37"/>
        <v>893.19999999999993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7.3</v>
      </c>
      <c r="E95" s="173">
        <f t="shared" si="33"/>
        <v>0</v>
      </c>
      <c r="F95" s="173">
        <f t="shared" si="33"/>
        <v>0</v>
      </c>
      <c r="J95" s="173">
        <f t="shared" si="36"/>
        <v>1971</v>
      </c>
      <c r="K95" s="173">
        <f t="shared" si="37"/>
        <v>1971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5.5</v>
      </c>
      <c r="F96" s="173">
        <f t="shared" si="33"/>
        <v>0</v>
      </c>
      <c r="J96" s="173">
        <f t="shared" si="36"/>
        <v>1567.5</v>
      </c>
      <c r="K96" s="173">
        <f t="shared" si="37"/>
        <v>0</v>
      </c>
      <c r="L96" s="173">
        <f t="shared" si="34"/>
        <v>1567.5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2.2999999999999998</v>
      </c>
      <c r="F97" s="173">
        <f t="shared" si="33"/>
        <v>0</v>
      </c>
      <c r="J97" s="173">
        <f t="shared" si="36"/>
        <v>972.9</v>
      </c>
      <c r="K97" s="173">
        <f t="shared" si="37"/>
        <v>0</v>
      </c>
      <c r="L97" s="173">
        <f t="shared" si="34"/>
        <v>972.9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15.9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2.9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7.3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5.5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2.2999999999999998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4541</v>
      </c>
      <c r="K110" s="177">
        <f t="shared" ref="K110:K115" si="55">ROUND(T132*U132,0)</f>
        <v>2432</v>
      </c>
      <c r="L110" s="177">
        <f>ROUND(V132*W132,0)</f>
        <v>2109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11438.600000000002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8625</v>
      </c>
      <c r="K111" s="177">
        <f t="shared" si="55"/>
        <v>5718</v>
      </c>
      <c r="L111" s="177">
        <f>ROUND(V133*W133,0)</f>
        <v>2907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2540.4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0</v>
      </c>
      <c r="K112" s="177">
        <f t="shared" si="55"/>
        <v>0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1292</v>
      </c>
      <c r="K113" s="177">
        <f t="shared" si="55"/>
        <v>912</v>
      </c>
      <c r="L113" s="177">
        <f>ROUND(V135*W135,0)</f>
        <v>380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646</v>
      </c>
      <c r="K114" s="177">
        <f t="shared" si="55"/>
        <v>608</v>
      </c>
      <c r="L114" s="177">
        <f>ROUND(U136*V136,0)</f>
        <v>38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21108.600000000002</v>
      </c>
      <c r="L116" s="62">
        <f t="shared" ref="L116:M116" si="57">SUM(L110:L115)+SUM(L82:L106)</f>
        <v>7974.4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29.894999999999982</v>
      </c>
      <c r="C118" s="190">
        <f>IF(Scénario!$K$12="BV",[1]Eco!$B$78,IF(Scénario!$K$12="BL",[1]Eco!$B$77,[1]Eco!$B$76))</f>
        <v>223</v>
      </c>
      <c r="J118" s="173">
        <f>B118*C118</f>
        <v>6666.5849999999955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47.284000000000006</v>
      </c>
      <c r="C119" s="190">
        <f>[1]Eco!$B$79</f>
        <v>80</v>
      </c>
      <c r="J119" s="173">
        <f>B119*C119</f>
        <v>3782.7200000000003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0</v>
      </c>
      <c r="B123" s="173">
        <f>Alim_Surf!D35</f>
        <v>0</v>
      </c>
      <c r="C123" s="173">
        <f>Alim_Surf!E35</f>
        <v>0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4</v>
      </c>
      <c r="U123" s="171">
        <f>Troupeau!K17</f>
        <v>5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40.28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4</v>
      </c>
      <c r="AG125" s="30">
        <f>Troupeau!K17</f>
        <v>5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45.96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139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207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1345.5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70</v>
      </c>
      <c r="AG129" s="30">
        <f>C10</f>
        <v>2.5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180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450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4.5</v>
      </c>
      <c r="D132" s="190">
        <f>HLOOKUP(Troupeau!$J$17,[1]Anx!$D$170:$CN$186,'Calcul éco'!O132)</f>
        <v>27</v>
      </c>
      <c r="E132" s="236"/>
      <c r="F132" s="236"/>
      <c r="G132" s="18"/>
      <c r="J132" s="173">
        <f>D132*C132</f>
        <v>121.5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111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7.5</v>
      </c>
      <c r="D133" s="190">
        <f>HLOOKUP(Troupeau!$J$17,[1]Anx!$D$170:$CN$186,'Calcul éco'!O133)</f>
        <v>46.62</v>
      </c>
      <c r="E133" s="236"/>
      <c r="F133" s="236"/>
      <c r="G133" s="18"/>
      <c r="J133" s="173">
        <f t="shared" ref="J133:J138" si="61">D133*C133</f>
        <v>349.65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18.809999999999999</v>
      </c>
      <c r="V133" s="171">
        <f>$U$127</f>
        <v>19</v>
      </c>
      <c r="W133" s="190">
        <f>IF(V133=0,0,HLOOKUP(U$123,[1]Anx!$D$170:$CN$1177,$AB133))</f>
        <v>153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11</v>
      </c>
      <c r="D134" s="190">
        <f>HLOOKUP(Troupeau!$J$17,[1]Anx!$D$170:$CN$186,'Calcul éco'!O134)</f>
        <v>50.13</v>
      </c>
      <c r="E134" s="236"/>
      <c r="F134" s="236"/>
      <c r="G134" s="18"/>
      <c r="J134" s="173">
        <f t="shared" si="61"/>
        <v>551.43000000000006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0</v>
      </c>
      <c r="U134" s="190">
        <f>HLOOKUP($T$123,[1]Anx!$D$170:$CN$1177,$AB134)</f>
        <v>0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20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88.92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2</v>
      </c>
      <c r="V136" s="171">
        <f>$U$127</f>
        <v>19</v>
      </c>
      <c r="W136" s="190">
        <f>IF(V136=0,0,HLOOKUP(U$123,[1]Anx!$D$170:$CN$1177,$AB136))</f>
        <v>14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5</v>
      </c>
      <c r="D137" s="190">
        <f>HLOOKUP(Troupeau!$J$17,[1]Anx!$D$170:$CN$186,'Calcul éco'!O137)</f>
        <v>112.68</v>
      </c>
      <c r="E137" s="5"/>
      <c r="F137" s="5"/>
      <c r="G137" s="18"/>
      <c r="J137" s="173">
        <f t="shared" si="61"/>
        <v>563.40000000000009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69</v>
      </c>
      <c r="U137" s="190">
        <f>HLOOKUP($T$123,[1]Anx!$D$170:$CN$1177,$AB137)</f>
        <v>0</v>
      </c>
      <c r="V137" s="171">
        <f>Troupeau!C22</f>
        <v>4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175.5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39</v>
      </c>
      <c r="AG138" s="30">
        <f>C13</f>
        <v>4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2800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0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41582.284999999996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4595.5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</v>
      </c>
      <c r="C149" s="190">
        <f>HLOOKUP(Troupeau!J$17,[1]Anx!$A$170:$CN$220,'Calcul éco'!O149)</f>
        <v>86.5</v>
      </c>
      <c r="D149" s="5"/>
      <c r="G149" s="171"/>
      <c r="J149" s="173">
        <f t="shared" ref="J149:J154" si="67">B149*C149</f>
        <v>2508.5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750</v>
      </c>
      <c r="D150" s="5"/>
      <c r="G150" s="171"/>
      <c r="J150" s="173">
        <f t="shared" si="67"/>
        <v>750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5400</v>
      </c>
      <c r="D151" s="5"/>
      <c r="G151" s="171"/>
      <c r="J151" s="173">
        <f t="shared" si="67"/>
        <v>5400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12964</v>
      </c>
      <c r="D153" s="5"/>
      <c r="E153" s="5"/>
      <c r="G153" s="171"/>
      <c r="J153" s="173">
        <f t="shared" si="67"/>
        <v>12964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23.5</v>
      </c>
      <c r="X153" t="s">
        <v>52</v>
      </c>
      <c r="Y153" s="173">
        <f>W153-Scénario!K28</f>
        <v>0</v>
      </c>
      <c r="Z153" s="173">
        <f>Y153-Y156</f>
        <v>0</v>
      </c>
    </row>
    <row r="154" spans="1:39" x14ac:dyDescent="0.25">
      <c r="A154" t="s">
        <v>1076</v>
      </c>
      <c r="B154" s="173">
        <f>Scénario!K48</f>
        <v>29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8430.2999999999993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16</v>
      </c>
      <c r="X154" t="s">
        <v>52</v>
      </c>
      <c r="Y154" s="173">
        <f>W154-Scénario!K29</f>
        <v>0</v>
      </c>
      <c r="Z154" s="173">
        <f>Y154</f>
        <v>0</v>
      </c>
    </row>
    <row r="155" spans="1:39" x14ac:dyDescent="0.25">
      <c r="A155" s="17" t="s">
        <v>1078</v>
      </c>
      <c r="B155" s="239">
        <f>B154</f>
        <v>29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0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0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266</v>
      </c>
      <c r="S164" s="173">
        <f>Alim_Surf!R7</f>
        <v>1.7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1.7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1.7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241</v>
      </c>
      <c r="S165" s="173">
        <f>Alim_Surf!R8</f>
        <v>11</v>
      </c>
      <c r="T165" s="173">
        <f>VLOOKUP(R165,[1]MEP!$A$4:$M$300,13)</f>
        <v>2</v>
      </c>
      <c r="U165" s="173">
        <f t="shared" ref="U165:U207" si="72">IF($T165&gt;0,$S165,0)</f>
        <v>11</v>
      </c>
      <c r="V165" s="173">
        <f t="shared" ref="V165:V207" si="73">IF($T165&gt;1,$S165,0)</f>
        <v>11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11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11</v>
      </c>
      <c r="AN165" s="32" t="s">
        <v>659</v>
      </c>
      <c r="AO165" s="173">
        <f>SUM(AD164:AD183)</f>
        <v>18.7</v>
      </c>
    </row>
    <row r="166" spans="1:41" x14ac:dyDescent="0.25">
      <c r="A166" s="5" t="s">
        <v>1423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290</v>
      </c>
      <c r="S166" s="173">
        <f>Alim_Surf!R9</f>
        <v>1</v>
      </c>
      <c r="T166" s="173">
        <f>VLOOKUP(R166,[1]MEP!$A$4:$M$300,13)</f>
        <v>1</v>
      </c>
      <c r="U166" s="173">
        <f t="shared" si="72"/>
        <v>1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1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1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0</v>
      </c>
      <c r="K167" s="173"/>
      <c r="L167" s="173"/>
      <c r="M167" s="173"/>
      <c r="N167" s="173"/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72"/>
        <v>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0</v>
      </c>
      <c r="S168" s="173">
        <f>Alim_Surf!R11</f>
        <v>0</v>
      </c>
      <c r="T168" s="173">
        <f>VLOOKUP(R168,[1]MEP!$A$4:$M$300,13)</f>
        <v>0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4.3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30052.799999999999</v>
      </c>
      <c r="K170" s="62"/>
      <c r="L170" s="62"/>
      <c r="M170" s="62"/>
      <c r="N170" s="62"/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38588.275000000009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25726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11400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27188.275000000009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18126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239</v>
      </c>
      <c r="S186" s="173">
        <f>Alim_Surf!R29</f>
        <v>2.8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2.8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2.8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1.5</v>
      </c>
      <c r="T187" s="173">
        <f>VLOOKUP(R187,[1]MEP!$A$4:$M$300,13)</f>
        <v>1</v>
      </c>
      <c r="U187" s="173">
        <f t="shared" si="72"/>
        <v>1.5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1.5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1.5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70"/>
        <v>0</v>
      </c>
      <c r="AB188" s="173">
        <f t="shared" si="71"/>
        <v>0</v>
      </c>
      <c r="AC188" s="173">
        <f t="shared" si="75"/>
        <v>5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5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</v>
      </c>
      <c r="U228" s="62">
        <f>SUM(U164:U227)</f>
        <v>23.5</v>
      </c>
      <c r="V228" s="62">
        <f t="shared" ref="V228:W228" si="84">SUM(V164:V227)</f>
        <v>16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4.5</v>
      </c>
      <c r="AI228" s="62">
        <f t="shared" si="86"/>
        <v>7.5</v>
      </c>
      <c r="AJ228" s="62">
        <f t="shared" si="86"/>
        <v>11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3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7.35</v>
      </c>
      <c r="W247" s="173">
        <f>[1]Eco!$B$111</f>
        <v>28.3</v>
      </c>
      <c r="X247" s="173">
        <f>T247*W247</f>
        <v>208.005</v>
      </c>
    </row>
    <row r="248" spans="17:31" x14ac:dyDescent="0.25">
      <c r="W248" s="14" t="s">
        <v>1117</v>
      </c>
      <c r="X248" s="173">
        <f>SUM(X245:X247)</f>
        <v>208.005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8347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1200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3">
        <f>IF(T258=0,0,[1]Protect!$B78)</f>
        <v>20000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6677.6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6677.6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zoomScale="110" zoomScaleNormal="110" workbookViewId="0">
      <selection activeCell="D300" sqref="D30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Z1_OLBV_T3PT_SCsi</v>
      </c>
      <c r="D1" s="275" t="str">
        <f>CONCATENATE(C1,"_corr")</f>
        <v>Z1_OLBV_T3PT_SCsi_corr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1.5</v>
      </c>
      <c r="D4" s="177">
        <f t="shared" si="0"/>
        <v>1.5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0</v>
      </c>
      <c r="D13" s="177">
        <f t="shared" si="0"/>
        <v>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36</v>
      </c>
      <c r="D24" s="177">
        <f t="shared" si="0"/>
        <v>36</v>
      </c>
    </row>
    <row r="25" spans="2:5" x14ac:dyDescent="0.25">
      <c r="B25" s="14" t="s">
        <v>571</v>
      </c>
      <c r="C25" s="177">
        <f>Scénario!K56</f>
        <v>5</v>
      </c>
      <c r="D25" s="177">
        <f t="shared" si="0"/>
        <v>5</v>
      </c>
    </row>
    <row r="26" spans="2:5" x14ac:dyDescent="0.25">
      <c r="B26" s="14" t="s">
        <v>574</v>
      </c>
      <c r="C26" s="177" t="str">
        <f>Scénario!K57</f>
        <v>3. 7 visites par semaine</v>
      </c>
      <c r="D26" s="177" t="str">
        <f t="shared" si="0"/>
        <v>3. 7 visites par semaine</v>
      </c>
    </row>
    <row r="27" spans="2:5" x14ac:dyDescent="0.25">
      <c r="B27" s="14" t="s">
        <v>577</v>
      </c>
      <c r="C27" s="177">
        <f>Scénario!K58</f>
        <v>1</v>
      </c>
      <c r="D27" s="177">
        <f t="shared" si="0"/>
        <v>1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4</v>
      </c>
      <c r="D31" s="177">
        <f t="shared" si="0"/>
        <v>4</v>
      </c>
    </row>
    <row r="32" spans="2:5" x14ac:dyDescent="0.25">
      <c r="B32" s="14" t="s">
        <v>584</v>
      </c>
      <c r="C32" s="177">
        <f>Scénario!K62</f>
        <v>12</v>
      </c>
      <c r="D32" s="177">
        <f t="shared" si="0"/>
        <v>12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48</v>
      </c>
      <c r="D39" s="177">
        <f t="shared" si="0"/>
        <v>48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48</v>
      </c>
      <c r="D41" s="177">
        <f t="shared" si="0"/>
        <v>48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0</v>
      </c>
      <c r="D51" s="177">
        <f t="shared" si="0"/>
        <v>0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0</v>
      </c>
      <c r="D53" s="177">
        <f t="shared" si="0"/>
        <v>0</v>
      </c>
      <c r="E53" s="14"/>
    </row>
    <row r="54" spans="1:132" x14ac:dyDescent="0.25">
      <c r="B54" s="14" t="s">
        <v>623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0</v>
      </c>
      <c r="D61" s="177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20.170019999999997</v>
      </c>
      <c r="D68" s="258">
        <f>ROUND(C68*$D$82/$C$82,3)</f>
        <v>19.364999999999998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62.193393913043479</v>
      </c>
      <c r="D70" s="258">
        <f>ROUND(C70*$D$82/$C$82,3)</f>
        <v>59.712000000000003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5</v>
      </c>
      <c r="D73" s="258">
        <f t="shared" si="3"/>
        <v>4.8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6</v>
      </c>
      <c r="D74" s="258">
        <f t="shared" si="3"/>
        <v>5.7610000000000001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23</v>
      </c>
      <c r="D75" s="258">
        <f t="shared" si="3"/>
        <v>22.082000000000001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4.8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4.3</v>
      </c>
      <c r="D79" s="258">
        <f t="shared" si="3"/>
        <v>4.1280000000000001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1.5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23.5</v>
      </c>
      <c r="D85" s="261">
        <f>ROUND(C85*$D$82/$C$82,3)</f>
        <v>22.562000000000001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16</v>
      </c>
      <c r="D86" s="261">
        <f t="shared" ref="D86:D97" si="14">ROUND(C86*$D$82/$C$82,3)</f>
        <v>15.362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2.35</v>
      </c>
      <c r="D88" s="261">
        <f t="shared" si="14"/>
        <v>2.2559999999999998</v>
      </c>
      <c r="AT88" s="189" t="str">
        <f>CdTrp1!A16</f>
        <v>vides</v>
      </c>
      <c r="AU88" s="192" t="str">
        <f>Scénario!K97</f>
        <v>faible</v>
      </c>
      <c r="AV88" s="173">
        <f t="shared" si="15"/>
        <v>1</v>
      </c>
      <c r="AW88" s="173">
        <f t="shared" si="15"/>
        <v>1</v>
      </c>
      <c r="AX88" s="173">
        <f t="shared" si="15"/>
        <v>1</v>
      </c>
      <c r="AY88" s="173">
        <f t="shared" si="15"/>
        <v>1</v>
      </c>
      <c r="AZ88" s="173">
        <f t="shared" si="15"/>
        <v>1</v>
      </c>
      <c r="BA88" s="173">
        <f t="shared" si="15"/>
        <v>1</v>
      </c>
      <c r="BB88" s="173">
        <f t="shared" si="15"/>
        <v>1</v>
      </c>
      <c r="BC88" s="173">
        <f t="shared" si="15"/>
        <v>1</v>
      </c>
      <c r="BD88" s="173">
        <f t="shared" si="15"/>
        <v>1</v>
      </c>
      <c r="BE88" s="173">
        <f t="shared" si="15"/>
        <v>1</v>
      </c>
      <c r="BF88" s="173">
        <f t="shared" si="15"/>
        <v>1</v>
      </c>
      <c r="BG88" s="173">
        <f t="shared" si="15"/>
        <v>1</v>
      </c>
      <c r="BH88" s="173">
        <f t="shared" si="15"/>
        <v>1</v>
      </c>
      <c r="BI88" s="173">
        <f t="shared" si="15"/>
        <v>1</v>
      </c>
      <c r="BJ88" s="173">
        <f t="shared" si="15"/>
        <v>1</v>
      </c>
      <c r="BK88" s="173">
        <f t="shared" si="15"/>
        <v>1</v>
      </c>
      <c r="BL88" s="173">
        <f t="shared" si="16"/>
        <v>1</v>
      </c>
      <c r="BM88" s="173">
        <f t="shared" si="16"/>
        <v>1</v>
      </c>
      <c r="BN88" s="173">
        <f t="shared" si="16"/>
        <v>1</v>
      </c>
      <c r="BO88" s="173">
        <f t="shared" si="16"/>
        <v>1</v>
      </c>
      <c r="BP88" s="173">
        <f t="shared" si="16"/>
        <v>1</v>
      </c>
      <c r="BQ88" s="173">
        <f t="shared" si="16"/>
        <v>1</v>
      </c>
      <c r="BR88" s="173">
        <f t="shared" si="16"/>
        <v>1</v>
      </c>
      <c r="BS88" s="173">
        <f t="shared" si="16"/>
        <v>1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0</v>
      </c>
      <c r="D89" s="261">
        <f t="shared" si="14"/>
        <v>0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faible</v>
      </c>
      <c r="AV90" s="173">
        <f t="shared" si="15"/>
        <v>1</v>
      </c>
      <c r="AW90" s="173">
        <f t="shared" si="15"/>
        <v>1</v>
      </c>
      <c r="AX90" s="173">
        <f t="shared" si="15"/>
        <v>1</v>
      </c>
      <c r="AY90" s="173">
        <f t="shared" si="15"/>
        <v>1</v>
      </c>
      <c r="AZ90" s="173">
        <f t="shared" si="15"/>
        <v>1</v>
      </c>
      <c r="BA90" s="173">
        <f t="shared" si="15"/>
        <v>1</v>
      </c>
      <c r="BB90" s="173">
        <f t="shared" si="15"/>
        <v>1</v>
      </c>
      <c r="BC90" s="173">
        <f t="shared" si="15"/>
        <v>1</v>
      </c>
      <c r="BD90" s="173">
        <f t="shared" si="15"/>
        <v>1</v>
      </c>
      <c r="BE90" s="173">
        <f t="shared" si="15"/>
        <v>1</v>
      </c>
      <c r="BF90" s="173">
        <f t="shared" si="15"/>
        <v>1</v>
      </c>
      <c r="BG90" s="173">
        <f t="shared" si="15"/>
        <v>1</v>
      </c>
      <c r="BH90" s="173">
        <f t="shared" si="15"/>
        <v>1</v>
      </c>
      <c r="BI90" s="173">
        <f t="shared" si="15"/>
        <v>1</v>
      </c>
      <c r="BJ90" s="173">
        <f t="shared" si="15"/>
        <v>1</v>
      </c>
      <c r="BK90" s="173">
        <f t="shared" si="15"/>
        <v>1</v>
      </c>
      <c r="BL90" s="173">
        <f t="shared" si="16"/>
        <v>1</v>
      </c>
      <c r="BM90" s="173">
        <f t="shared" si="16"/>
        <v>1</v>
      </c>
      <c r="BN90" s="173">
        <f t="shared" si="16"/>
        <v>1</v>
      </c>
      <c r="BO90" s="173">
        <f t="shared" si="16"/>
        <v>1</v>
      </c>
      <c r="BP90" s="173">
        <f t="shared" si="16"/>
        <v>1</v>
      </c>
      <c r="BQ90" s="173">
        <f t="shared" si="16"/>
        <v>1</v>
      </c>
      <c r="BR90" s="173">
        <f t="shared" si="16"/>
        <v>1</v>
      </c>
      <c r="BS90" s="173">
        <f t="shared" si="16"/>
        <v>1</v>
      </c>
      <c r="BZ90" s="189" t="str">
        <f t="shared" si="17"/>
        <v>lot4</v>
      </c>
      <c r="CA90" s="192">
        <f>Scénario!K109</f>
        <v>0</v>
      </c>
      <c r="CB90" s="173">
        <f t="shared" si="21"/>
        <v>1</v>
      </c>
      <c r="CC90" s="173">
        <f t="shared" si="18"/>
        <v>1</v>
      </c>
      <c r="CD90" s="173">
        <f t="shared" si="18"/>
        <v>1</v>
      </c>
      <c r="CE90" s="173">
        <f t="shared" si="18"/>
        <v>1</v>
      </c>
      <c r="CF90" s="173">
        <f t="shared" si="18"/>
        <v>1</v>
      </c>
      <c r="CG90" s="173">
        <f t="shared" si="18"/>
        <v>1</v>
      </c>
      <c r="CH90" s="173">
        <f t="shared" si="18"/>
        <v>1</v>
      </c>
      <c r="CI90" s="173">
        <f t="shared" si="18"/>
        <v>1</v>
      </c>
      <c r="CJ90" s="173">
        <f t="shared" si="18"/>
        <v>1</v>
      </c>
      <c r="CK90" s="173">
        <f t="shared" si="18"/>
        <v>1</v>
      </c>
      <c r="CL90" s="173">
        <f t="shared" si="18"/>
        <v>1</v>
      </c>
      <c r="CM90" s="173">
        <f t="shared" si="18"/>
        <v>1</v>
      </c>
      <c r="CN90" s="173">
        <f t="shared" si="18"/>
        <v>1</v>
      </c>
      <c r="CO90" s="173">
        <f t="shared" si="18"/>
        <v>1</v>
      </c>
      <c r="CP90" s="173">
        <f t="shared" si="18"/>
        <v>1</v>
      </c>
      <c r="CQ90" s="173">
        <f t="shared" si="18"/>
        <v>1</v>
      </c>
      <c r="CR90" s="173">
        <f t="shared" si="18"/>
        <v>1</v>
      </c>
      <c r="CS90" s="173">
        <f t="shared" si="18"/>
        <v>1</v>
      </c>
      <c r="CT90" s="173">
        <f t="shared" si="18"/>
        <v>1</v>
      </c>
      <c r="CU90" s="173">
        <f t="shared" si="18"/>
        <v>1</v>
      </c>
      <c r="CV90" s="173">
        <f t="shared" si="18"/>
        <v>1</v>
      </c>
      <c r="CW90" s="173">
        <f t="shared" si="18"/>
        <v>1</v>
      </c>
      <c r="CX90" s="173">
        <f t="shared" si="18"/>
        <v>1</v>
      </c>
      <c r="CY90" s="173">
        <f t="shared" si="18"/>
        <v>1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1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4</v>
      </c>
      <c r="D98" s="173">
        <f>C98</f>
        <v>4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1</v>
      </c>
      <c r="AW99" s="173">
        <f>IF(CdTrp1!C53=1,3,IF(CdTrp1!C53=0.5,2,IF(CdTrp1!C53=0,1,0)))</f>
        <v>1</v>
      </c>
      <c r="AX99" s="173">
        <f>IF(CdTrp1!D53=1,3,IF(CdTrp1!D53=0.5,2,IF(CdTrp1!D53=0,1,0)))</f>
        <v>1</v>
      </c>
      <c r="AY99" s="173">
        <f>IF(CdTrp1!E53=1,3,IF(CdTrp1!E53=0.5,2,IF(CdTrp1!E53=0,1,0)))</f>
        <v>1</v>
      </c>
      <c r="AZ99" s="173">
        <f>IF(CdTrp1!F53=1,3,IF(CdTrp1!F53=0.5,2,IF(CdTrp1!F53=0,1,0)))</f>
        <v>1</v>
      </c>
      <c r="BA99" s="173">
        <f>IF(CdTrp1!G53=1,3,IF(CdTrp1!G53=0.5,2,IF(CdTrp1!G53=0,1,0)))</f>
        <v>1</v>
      </c>
      <c r="BB99" s="173">
        <f>IF(CdTrp1!H53=1,3,IF(CdTrp1!H53=0.5,2,IF(CdTrp1!H53=0,1,0)))</f>
        <v>1</v>
      </c>
      <c r="BC99" s="173">
        <f>IF(CdTrp1!I53=1,3,IF(CdTrp1!I53=0.5,2,IF(CdTrp1!I53=0,1,0)))</f>
        <v>1</v>
      </c>
      <c r="BD99" s="173">
        <f>IF(CdTrp1!J53=1,3,IF(CdTrp1!J53=0.5,2,IF(CdTrp1!J53=0,1,0)))</f>
        <v>1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1</v>
      </c>
      <c r="BP99" s="173">
        <f>IF(CdTrp1!V53=1,3,IF(CdTrp1!V53=0.5,2,IF(CdTrp1!V53=0,1,0)))</f>
        <v>1</v>
      </c>
      <c r="BQ99" s="173">
        <f>IF(CdTrp1!W53=1,3,IF(CdTrp1!W53=0.5,2,IF(CdTrp1!W53=0,1,0)))</f>
        <v>1</v>
      </c>
      <c r="BR99" s="173">
        <f>IF(CdTrp1!X53=1,3,IF(CdTrp1!X53=0.5,2,IF(CdTrp1!X53=0,1,0)))</f>
        <v>1</v>
      </c>
      <c r="BS99" s="173">
        <f>IF(CdTrp1!Y53=1,3,IF(CdTrp1!Y53=0.5,2,IF(CdTrp1!Y53=0,1,0)))</f>
        <v>1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7</v>
      </c>
      <c r="D101" s="173">
        <f t="shared" si="25"/>
        <v>7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1</v>
      </c>
      <c r="AW101" s="173">
        <f>IF(CdTrp1!C55=1,3,IF(CdTrp1!C55=0.5,2,IF(CdTrp1!C55=0,1,0)))</f>
        <v>1</v>
      </c>
      <c r="AX101" s="173">
        <f>IF(CdTrp1!D55=1,3,IF(CdTrp1!D55=0.5,2,IF(CdTrp1!D55=0,1,0)))</f>
        <v>1</v>
      </c>
      <c r="AY101" s="173">
        <f>IF(CdTrp1!E55=1,3,IF(CdTrp1!E55=0.5,2,IF(CdTrp1!E55=0,1,0)))</f>
        <v>1</v>
      </c>
      <c r="AZ101" s="173">
        <f>IF(CdTrp1!F55=1,3,IF(CdTrp1!F55=0.5,2,IF(CdTrp1!F55=0,1,0)))</f>
        <v>1</v>
      </c>
      <c r="BA101" s="173">
        <f>IF(CdTrp1!G55=1,3,IF(CdTrp1!G55=0.5,2,IF(CdTrp1!G55=0,1,0)))</f>
        <v>1</v>
      </c>
      <c r="BB101" s="173">
        <f>IF(CdTrp1!H55=1,3,IF(CdTrp1!H55=0.5,2,IF(CdTrp1!H55=0,1,0)))</f>
        <v>1</v>
      </c>
      <c r="BC101" s="173">
        <f>IF(CdTrp1!I55=1,3,IF(CdTrp1!I55=0.5,2,IF(CdTrp1!I55=0,1,0)))</f>
        <v>1</v>
      </c>
      <c r="BD101" s="173">
        <f>IF(CdTrp1!J55=1,3,IF(CdTrp1!J55=0.5,2,IF(CdTrp1!J55=0,1,0)))</f>
        <v>1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1</v>
      </c>
      <c r="BP101" s="173">
        <f>IF(CdTrp1!V55=1,3,IF(CdTrp1!V55=0.5,2,IF(CdTrp1!V55=0,1,0)))</f>
        <v>1</v>
      </c>
      <c r="BQ101" s="173">
        <f>IF(CdTrp1!W55=1,3,IF(CdTrp1!W55=0.5,2,IF(CdTrp1!W55=0,1,0)))</f>
        <v>1</v>
      </c>
      <c r="BR101" s="173">
        <f>IF(CdTrp1!X55=1,3,IF(CdTrp1!X55=0.5,2,IF(CdTrp1!X55=0,1,0)))</f>
        <v>1</v>
      </c>
      <c r="BS101" s="173">
        <f>IF(CdTrp1!Y55=1,3,IF(CdTrp1!Y55=0.5,2,IF(CdTrp1!Y55=0,1,0)))</f>
        <v>1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3</v>
      </c>
      <c r="AA105" s="30">
        <f>CdTrp2!U76</f>
        <v>3</v>
      </c>
      <c r="AB105" s="30">
        <f>CdTrp2!V76</f>
        <v>2</v>
      </c>
      <c r="AC105" s="30">
        <f>CdTrp2!W76</f>
        <v>2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31</v>
      </c>
      <c r="D106" s="173">
        <f t="shared" si="25"/>
        <v>31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26.5</v>
      </c>
      <c r="D107" s="173">
        <f t="shared" si="25"/>
        <v>26.5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57.5</v>
      </c>
      <c r="D109" s="173">
        <f t="shared" si="25"/>
        <v>57.5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2</v>
      </c>
      <c r="CU109" s="173">
        <f>IF(CdTrp2!U76=1,1,IF(CdTrp2!U76=2,2,IF(CdTrp2!U76=3,2,IF(CdTrp2!U76=4,4,0))))</f>
        <v>2</v>
      </c>
      <c r="CV109" s="173">
        <f>IF(CdTrp2!V76=1,1,IF(CdTrp2!V76=2,2,IF(CdTrp2!V76=3,2,IF(CdTrp2!V76=4,4,0))))</f>
        <v>2</v>
      </c>
      <c r="CW109" s="173">
        <f>IF(CdTrp2!W76=1,1,IF(CdTrp2!W76=2,2,IF(CdTrp2!W76=3,2,IF(CdTrp2!W76=4,4,0))))</f>
        <v>2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14</v>
      </c>
      <c r="D110" s="173">
        <f t="shared" si="25"/>
        <v>14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1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10.5</v>
      </c>
      <c r="D111" s="173">
        <f t="shared" si="25"/>
        <v>10.5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1</v>
      </c>
      <c r="AY111" s="173">
        <f>IF(CdTrp1!E78=1,1,IF(CdTrp1!E78=2,2,IF(CdTrp1!E78=3,2,IF(CdTrp1!E78=4,4,0))))</f>
        <v>1</v>
      </c>
      <c r="AZ111" s="173">
        <f>IF(CdTrp1!F78=1,1,IF(CdTrp1!F78=2,2,IF(CdTrp1!F78=3,2,IF(CdTrp1!F78=4,4,0))))</f>
        <v>1</v>
      </c>
      <c r="BA111" s="173">
        <f>IF(CdTrp1!G78=1,1,IF(CdTrp1!G78=2,2,IF(CdTrp1!G78=3,2,IF(CdTrp1!G78=4,4,0))))</f>
        <v>1</v>
      </c>
      <c r="BB111" s="173">
        <f>IF(CdTrp1!H78=1,1,IF(CdTrp1!H78=2,2,IF(CdTrp1!H78=3,2,IF(CdTrp1!H78=4,4,0))))</f>
        <v>1</v>
      </c>
      <c r="BC111" s="173">
        <f>IF(CdTrp1!I78=1,1,IF(CdTrp1!I78=2,2,IF(CdTrp1!I78=3,2,IF(CdTrp1!I78=4,4,0))))</f>
        <v>1</v>
      </c>
      <c r="BD111" s="173">
        <f>IF(CdTrp1!J78=1,1,IF(CdTrp1!J78=2,2,IF(CdTrp1!J78=3,2,IF(CdTrp1!J78=4,4,0))))</f>
        <v>1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0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2</v>
      </c>
      <c r="AW112" s="173">
        <f>IF(CdTrp1!C79=1,1,IF(CdTrp1!C79=2,2,IF(CdTrp1!C79=3,2,IF(CdTrp1!C79=4,4,0))))</f>
        <v>2</v>
      </c>
      <c r="AX112" s="173">
        <f>IF(CdTrp1!D79=1,1,IF(CdTrp1!D79=2,2,IF(CdTrp1!D79=3,2,IF(CdTrp1!D79=4,4,0))))</f>
        <v>2</v>
      </c>
      <c r="AY112" s="173">
        <f>IF(CdTrp1!E79=1,1,IF(CdTrp1!E79=2,2,IF(CdTrp1!E79=3,2,IF(CdTrp1!E79=4,4,0))))</f>
        <v>2</v>
      </c>
      <c r="AZ112" s="173">
        <f>IF(CdTrp1!F79=1,1,IF(CdTrp1!F79=2,2,IF(CdTrp1!F79=3,2,IF(CdTrp1!F79=4,4,0))))</f>
        <v>2</v>
      </c>
      <c r="BA112" s="173">
        <f>IF(CdTrp1!G79=1,1,IF(CdTrp1!G79=2,2,IF(CdTrp1!G79=3,2,IF(CdTrp1!G79=4,4,0))))</f>
        <v>2</v>
      </c>
      <c r="BB112" s="173">
        <f>IF(CdTrp1!H79=1,1,IF(CdTrp1!H79=2,2,IF(CdTrp1!H79=3,2,IF(CdTrp1!H79=4,4,0))))</f>
        <v>2</v>
      </c>
      <c r="BC112" s="173">
        <f>IF(CdTrp1!I79=1,1,IF(CdTrp1!I79=2,2,IF(CdTrp1!I79=3,2,IF(CdTrp1!I79=4,4,0))))</f>
        <v>2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2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9</v>
      </c>
      <c r="D113" s="173">
        <f t="shared" si="25"/>
        <v>9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11</v>
      </c>
      <c r="D114" s="173">
        <f t="shared" si="25"/>
        <v>11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4.5</v>
      </c>
      <c r="D116" s="173">
        <f t="shared" si="25"/>
        <v>4.5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1</v>
      </c>
      <c r="D117" s="173">
        <f t="shared" si="25"/>
        <v>1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222</v>
      </c>
      <c r="CU121" s="173">
        <f>IF(CU75=0,0,VALUE(CONCATENATE(Travail!CU26,Travail!CU37,Travail!CU48)))</f>
        <v>222</v>
      </c>
      <c r="CV121" s="173">
        <f>IF(CV75=0,0,VALUE(CONCATENATE(Travail!CV26,Travail!CV37,Travail!CV48)))</f>
        <v>222</v>
      </c>
      <c r="CW121" s="173">
        <f>IF(CW75=0,0,VALUE(CONCATENATE(Travail!CW26,Travail!CW37,Travail!CW48)))</f>
        <v>222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3.5</v>
      </c>
      <c r="D122" s="173">
        <f t="shared" si="25"/>
        <v>3.5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112</v>
      </c>
      <c r="AW122" s="173">
        <f>IF(AW76=0,0,IF(AW99=3,0,VALUE(CONCATENATE(Travail!AW27,Travail!AW38,Travail!AW49))))</f>
        <v>112</v>
      </c>
      <c r="AX122" s="173">
        <f>IF(AX76=0,0,IF(AX99=3,0,VALUE(CONCATENATE(Travail!AX27,Travail!AX38,Travail!AX49))))</f>
        <v>112</v>
      </c>
      <c r="AY122" s="173">
        <f>IF(AY76=0,0,IF(AY99=3,0,VALUE(CONCATENATE(Travail!AY27,Travail!AY38,Travail!AY49))))</f>
        <v>112</v>
      </c>
      <c r="AZ122" s="173">
        <f>IF(AZ76=0,0,IF(AZ99=3,0,VALUE(CONCATENATE(Travail!AZ27,Travail!AZ38,Travail!AZ49))))</f>
        <v>112</v>
      </c>
      <c r="BA122" s="173">
        <f>IF(BA76=0,0,IF(BA99=3,0,VALUE(CONCATENATE(Travail!BA27,Travail!BA38,Travail!BA49))))</f>
        <v>112</v>
      </c>
      <c r="BB122" s="173">
        <f>IF(BB76=0,0,IF(BB99=3,0,VALUE(CONCATENATE(Travail!BB27,Travail!BB38,Travail!BB49))))</f>
        <v>112</v>
      </c>
      <c r="BC122" s="173">
        <f>IF(BC76=0,0,IF(BC99=3,0,VALUE(CONCATENATE(Travail!BC27,Travail!BC38,Travail!BC49))))</f>
        <v>112</v>
      </c>
      <c r="BD122" s="173">
        <f>IF(BD76=0,0,IF(BD99=3,0,VALUE(CONCATENATE(Travail!BD27,Travail!BD38,Travail!BD49))))</f>
        <v>112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112</v>
      </c>
      <c r="BP122" s="173">
        <f>IF(BP76=0,0,IF(BP99=3,0,VALUE(CONCATENATE(Travail!BP27,Travail!BP38,Travail!BP49))))</f>
        <v>112</v>
      </c>
      <c r="BQ122" s="173">
        <f>IF(BQ76=0,0,IF(BQ99=3,0,VALUE(CONCATENATE(Travail!BQ27,Travail!BQ38,Travail!BQ49))))</f>
        <v>112</v>
      </c>
      <c r="BR122" s="173">
        <f>IF(BR76=0,0,IF(BR99=3,0,VALUE(CONCATENATE(Travail!BR27,Travail!BR38,Travail!BR49))))</f>
        <v>112</v>
      </c>
      <c r="BS122" s="173">
        <f>IF(BS76=0,0,IF(BS99=3,0,VALUE(CONCATENATE(Travail!BS27,Travail!BS38,Travail!BS49))))</f>
        <v>112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211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4</v>
      </c>
      <c r="D123" s="173">
        <f t="shared" si="25"/>
        <v>4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221</v>
      </c>
      <c r="BB123" s="173">
        <f>IF(BB77=0,0,IF(BB100=3,0,VALUE(CONCATENATE(Travail!BB28,Travail!BB39,Travail!BB50))))</f>
        <v>221</v>
      </c>
      <c r="BC123" s="173">
        <f>IF(BC77=0,0,IF(BC100=3,0,VALUE(CONCATENATE(Travail!BC28,Travail!BC39,Travail!BC50))))</f>
        <v>221</v>
      </c>
      <c r="BD123" s="173">
        <f>IF(BD77=0,0,IF(BD100=3,0,VALUE(CONCATENATE(Travail!BD28,Travail!BD39,Travail!BD50))))</f>
        <v>221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112</v>
      </c>
      <c r="AW124" s="173">
        <f>IF(AW78=0,0,IF(AW101=3,0,VALUE(CONCATENATE(Travail!AW29,Travail!AW40,Travail!AW51))))</f>
        <v>112</v>
      </c>
      <c r="AX124" s="173">
        <f>IF(AX78=0,0,IF(AX101=3,0,VALUE(CONCATENATE(Travail!AX29,Travail!AX40,Travail!AX51))))</f>
        <v>112</v>
      </c>
      <c r="AY124" s="173">
        <f>IF(AY78=0,0,IF(AY101=3,0,VALUE(CONCATENATE(Travail!AY29,Travail!AY40,Travail!AY51))))</f>
        <v>112</v>
      </c>
      <c r="AZ124" s="173">
        <f>IF(AZ78=0,0,IF(AZ101=3,0,VALUE(CONCATENATE(Travail!AZ29,Travail!AZ40,Travail!AZ51))))</f>
        <v>112</v>
      </c>
      <c r="BA124" s="173">
        <f>IF(BA78=0,0,IF(BA101=3,0,VALUE(CONCATENATE(Travail!BA29,Travail!BA40,Travail!BA51))))</f>
        <v>112</v>
      </c>
      <c r="BB124" s="173">
        <f>IF(BB78=0,0,IF(BB101=3,0,VALUE(CONCATENATE(Travail!BB29,Travail!BB40,Travail!BB51))))</f>
        <v>112</v>
      </c>
      <c r="BC124" s="173">
        <f>IF(BC78=0,0,IF(BC101=3,0,VALUE(CONCATENATE(Travail!BC29,Travail!BC40,Travail!BC51))))</f>
        <v>112</v>
      </c>
      <c r="BD124" s="173">
        <f>IF(BD78=0,0,IF(BD101=3,0,VALUE(CONCATENATE(Travail!BD29,Travail!BD40,Travail!BD51))))</f>
        <v>111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112</v>
      </c>
      <c r="BP124" s="173">
        <f>IF(BP78=0,0,IF(BP101=3,0,VALUE(CONCATENATE(Travail!BP29,Travail!BP40,Travail!BP51))))</f>
        <v>112</v>
      </c>
      <c r="BQ124" s="173">
        <f>IF(BQ78=0,0,IF(BQ101=3,0,VALUE(CONCATENATE(Travail!BQ29,Travail!BQ40,Travail!BQ51))))</f>
        <v>112</v>
      </c>
      <c r="BR124" s="173">
        <f>IF(BR78=0,0,IF(BR101=3,0,VALUE(CONCATENATE(Travail!BR29,Travail!BR40,Travail!BR51))))</f>
        <v>112</v>
      </c>
      <c r="BS124" s="173">
        <f>IF(BS78=0,0,IF(BS101=3,0,VALUE(CONCATENATE(Travail!BS29,Travail!BS40,Travail!BS51))))</f>
        <v>112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4</v>
      </c>
      <c r="D126" s="173">
        <f t="shared" si="25"/>
        <v>4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4</v>
      </c>
      <c r="D128" s="173">
        <f t="shared" si="25"/>
        <v>4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3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3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1</v>
      </c>
      <c r="L130">
        <f t="shared" si="36"/>
        <v>1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4</v>
      </c>
      <c r="K132">
        <f t="shared" si="38"/>
        <v>5</v>
      </c>
      <c r="L132">
        <f t="shared" si="38"/>
        <v>5</v>
      </c>
      <c r="M132">
        <f t="shared" si="38"/>
        <v>6</v>
      </c>
      <c r="N132">
        <f t="shared" si="38"/>
        <v>7</v>
      </c>
      <c r="O132">
        <f t="shared" si="38"/>
        <v>7</v>
      </c>
      <c r="P132">
        <f t="shared" si="38"/>
        <v>7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6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0.50909090909090904</v>
      </c>
      <c r="D133" s="262">
        <f t="shared" si="25"/>
        <v>0.50909090909090904</v>
      </c>
      <c r="AT133" s="189" t="str">
        <f t="shared" ref="AT133:AT141" si="42">AT122</f>
        <v>vides</v>
      </c>
      <c r="AV133" s="173">
        <f t="shared" si="39"/>
        <v>11</v>
      </c>
      <c r="AW133" s="173">
        <f t="shared" si="39"/>
        <v>11</v>
      </c>
      <c r="AX133" s="173">
        <f t="shared" si="39"/>
        <v>11</v>
      </c>
      <c r="AY133" s="173">
        <f t="shared" si="39"/>
        <v>11</v>
      </c>
      <c r="AZ133" s="173">
        <f t="shared" si="39"/>
        <v>11</v>
      </c>
      <c r="BA133" s="173">
        <f t="shared" si="39"/>
        <v>11</v>
      </c>
      <c r="BB133" s="173">
        <f t="shared" si="39"/>
        <v>11</v>
      </c>
      <c r="BC133" s="173">
        <f t="shared" si="39"/>
        <v>11</v>
      </c>
      <c r="BD133" s="173">
        <f t="shared" si="39"/>
        <v>11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11</v>
      </c>
      <c r="BP133" s="173">
        <f t="shared" si="39"/>
        <v>11</v>
      </c>
      <c r="BQ133" s="173">
        <f t="shared" si="39"/>
        <v>11</v>
      </c>
      <c r="BR133" s="173">
        <f t="shared" si="39"/>
        <v>11</v>
      </c>
      <c r="BS133" s="173">
        <f t="shared" si="39"/>
        <v>11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0.46666666666666667</v>
      </c>
      <c r="D134" s="262">
        <f t="shared" si="25"/>
        <v>0.46666666666666667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22</v>
      </c>
      <c r="BB134" s="173">
        <f t="shared" si="39"/>
        <v>22</v>
      </c>
      <c r="BC134" s="173">
        <f t="shared" si="39"/>
        <v>22</v>
      </c>
      <c r="BD134" s="173">
        <f t="shared" si="39"/>
        <v>22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11</v>
      </c>
      <c r="AW135" s="173">
        <f t="shared" si="39"/>
        <v>11</v>
      </c>
      <c r="AX135" s="173">
        <f t="shared" si="39"/>
        <v>11</v>
      </c>
      <c r="AY135" s="173">
        <f t="shared" si="39"/>
        <v>11</v>
      </c>
      <c r="AZ135" s="173">
        <f t="shared" si="39"/>
        <v>11</v>
      </c>
      <c r="BA135" s="173">
        <f t="shared" si="39"/>
        <v>11</v>
      </c>
      <c r="BB135" s="173">
        <f t="shared" si="39"/>
        <v>11</v>
      </c>
      <c r="BC135" s="173">
        <f t="shared" si="39"/>
        <v>11</v>
      </c>
      <c r="BD135" s="173">
        <f t="shared" si="39"/>
        <v>11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11</v>
      </c>
      <c r="BP135" s="173">
        <f t="shared" si="39"/>
        <v>11</v>
      </c>
      <c r="BQ135" s="173">
        <f t="shared" si="39"/>
        <v>11</v>
      </c>
      <c r="BR135" s="173">
        <f t="shared" si="39"/>
        <v>11</v>
      </c>
      <c r="BS135" s="173">
        <f t="shared" si="39"/>
        <v>11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0.49</v>
      </c>
      <c r="D136" s="262">
        <f t="shared" si="25"/>
        <v>0.49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209</v>
      </c>
      <c r="D137" s="263">
        <f>C137*$D$82/$C$82</f>
        <v>200.66084788029926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39</v>
      </c>
      <c r="D138" s="263">
        <f t="shared" ref="D138:D174" si="50">C138*$D$82/$C$82</f>
        <v>37.443890274314214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9</v>
      </c>
      <c r="D142" s="263">
        <f t="shared" si="50"/>
        <v>8.6408977556109718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1</v>
      </c>
      <c r="AZ142" s="173">
        <f t="shared" si="58"/>
        <v>1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4</v>
      </c>
      <c r="D143" s="263">
        <f t="shared" si="50"/>
        <v>3.8403990024937653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1</v>
      </c>
      <c r="AZ144" s="173">
        <f t="shared" si="64"/>
        <v>1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1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22</v>
      </c>
      <c r="BB146" s="62">
        <f t="shared" si="70"/>
        <v>22</v>
      </c>
      <c r="BC146" s="62">
        <f t="shared" si="70"/>
        <v>22</v>
      </c>
      <c r="BD146" s="62">
        <f t="shared" si="70"/>
        <v>22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21</v>
      </c>
      <c r="BB147" s="190">
        <f>IF(BB146=0,0,HLOOKUP(BB146,[1]Trav!$C$39:$G$59,$AU$166))</f>
        <v>21</v>
      </c>
      <c r="BC147" s="190">
        <f>IF(BC146=0,0,HLOOKUP(BC146,[1]Trav!$C$39:$G$59,$AU$166))</f>
        <v>21</v>
      </c>
      <c r="BD147" s="190">
        <f>IF(BD146=0,0,HLOOKUP(BD146,[1]Trav!$C$39:$G$59,$AU$166))</f>
        <v>21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21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40280</v>
      </c>
      <c r="D148" s="263">
        <f t="shared" si="50"/>
        <v>38672.817955112216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0</v>
      </c>
      <c r="D149" s="263">
        <f t="shared" si="50"/>
        <v>0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2.5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4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319.7883551989591</v>
      </c>
      <c r="AW160" s="62">
        <f t="shared" ref="AW160:BS160" si="83">SUM(AW151:AW159)</f>
        <v>317.25035237991978</v>
      </c>
      <c r="AX160" s="62">
        <f t="shared" si="83"/>
        <v>314.7123495608804</v>
      </c>
      <c r="AY160" s="62">
        <f t="shared" si="83"/>
        <v>313.44334815136074</v>
      </c>
      <c r="AZ160" s="62">
        <f t="shared" si="83"/>
        <v>312.17434674184102</v>
      </c>
      <c r="BA160" s="62">
        <f t="shared" si="83"/>
        <v>310.90534533232136</v>
      </c>
      <c r="BB160" s="62">
        <f t="shared" si="83"/>
        <v>309.6363439228017</v>
      </c>
      <c r="BC160" s="62">
        <f t="shared" si="83"/>
        <v>308.36734251328198</v>
      </c>
      <c r="BD160" s="62">
        <f t="shared" si="83"/>
        <v>305.82933969424266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65.988073295023312</v>
      </c>
      <c r="BH160" s="62">
        <f t="shared" si="83"/>
        <v>65.988073295023312</v>
      </c>
      <c r="BI160" s="62">
        <f t="shared" si="83"/>
        <v>65.988073295023312</v>
      </c>
      <c r="BJ160" s="62">
        <f t="shared" si="83"/>
        <v>65.988073295023312</v>
      </c>
      <c r="BK160" s="62">
        <f t="shared" si="83"/>
        <v>65.988073295023312</v>
      </c>
      <c r="BL160" s="62">
        <f t="shared" si="83"/>
        <v>65.988073295023312</v>
      </c>
      <c r="BM160" s="62">
        <f t="shared" si="83"/>
        <v>65.988073295023312</v>
      </c>
      <c r="BN160" s="62">
        <f t="shared" si="83"/>
        <v>310.90534533232136</v>
      </c>
      <c r="BO160" s="62">
        <f t="shared" si="83"/>
        <v>267.75929740865229</v>
      </c>
      <c r="BP160" s="62">
        <f t="shared" si="83"/>
        <v>267.75929740865229</v>
      </c>
      <c r="BQ160" s="62">
        <f t="shared" si="83"/>
        <v>319.7883551989591</v>
      </c>
      <c r="BR160" s="62">
        <f t="shared" si="83"/>
        <v>319.7883551989591</v>
      </c>
      <c r="BS160" s="62">
        <f t="shared" si="83"/>
        <v>319.7883551989591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97.279967475965137</v>
      </c>
      <c r="D161" s="263">
        <f t="shared" si="50"/>
        <v>93.398472514330621</v>
      </c>
      <c r="AT161" s="189" t="s">
        <v>844</v>
      </c>
      <c r="AV161" s="173">
        <f>IF($AT$62="OL",AV160/50,AV160/10)</f>
        <v>6.3957671039791819</v>
      </c>
      <c r="AW161" s="173">
        <f t="shared" ref="AW161:BS161" si="86">IF($AT$62="OL",AW160/50,AW160/10)</f>
        <v>6.3450070475983953</v>
      </c>
      <c r="AX161" s="173">
        <f t="shared" si="86"/>
        <v>6.2942469912176078</v>
      </c>
      <c r="AY161" s="173">
        <f t="shared" si="86"/>
        <v>6.2688669630272145</v>
      </c>
      <c r="AZ161" s="173">
        <f t="shared" si="86"/>
        <v>6.2434869348368203</v>
      </c>
      <c r="BA161" s="173">
        <f t="shared" si="86"/>
        <v>6.218106906646427</v>
      </c>
      <c r="BB161" s="173">
        <f t="shared" si="86"/>
        <v>6.1927268784560336</v>
      </c>
      <c r="BC161" s="173">
        <f t="shared" si="86"/>
        <v>6.1673468502656394</v>
      </c>
      <c r="BD161" s="173">
        <f t="shared" si="86"/>
        <v>6.1165867938848528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1.3197614659004662</v>
      </c>
      <c r="BH161" s="173">
        <f t="shared" si="86"/>
        <v>1.3197614659004662</v>
      </c>
      <c r="BI161" s="173">
        <f t="shared" si="86"/>
        <v>1.3197614659004662</v>
      </c>
      <c r="BJ161" s="173">
        <f t="shared" si="86"/>
        <v>1.3197614659004662</v>
      </c>
      <c r="BK161" s="173">
        <f t="shared" si="86"/>
        <v>1.3197614659004662</v>
      </c>
      <c r="BL161" s="173">
        <f t="shared" si="86"/>
        <v>1.3197614659004662</v>
      </c>
      <c r="BM161" s="173">
        <f t="shared" si="86"/>
        <v>1.3197614659004662</v>
      </c>
      <c r="BN161" s="173">
        <f t="shared" si="86"/>
        <v>6.218106906646427</v>
      </c>
      <c r="BO161" s="173">
        <f t="shared" si="86"/>
        <v>5.3551859481730455</v>
      </c>
      <c r="BP161" s="173">
        <f t="shared" si="86"/>
        <v>5.3551859481730455</v>
      </c>
      <c r="BQ161" s="173">
        <f t="shared" si="86"/>
        <v>6.3957671039791819</v>
      </c>
      <c r="BR161" s="173">
        <f t="shared" si="86"/>
        <v>6.3957671039791819</v>
      </c>
      <c r="BS161" s="173">
        <f t="shared" si="86"/>
        <v>6.3957671039791819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118.16137958722092</v>
      </c>
      <c r="D162" s="263">
        <f t="shared" si="50"/>
        <v>113.4467110750126</v>
      </c>
      <c r="AT162" s="189" t="s">
        <v>846</v>
      </c>
      <c r="AV162" s="173">
        <f>IF(AV161&gt;1,AV161-1,0)</f>
        <v>5.3957671039791819</v>
      </c>
      <c r="AW162" s="173">
        <f t="shared" ref="AW162:BS162" si="89">IF(AW161&gt;1,AW161-1,0)</f>
        <v>5.3450070475983953</v>
      </c>
      <c r="AX162" s="173">
        <f t="shared" si="89"/>
        <v>5.2942469912176078</v>
      </c>
      <c r="AY162" s="173">
        <f t="shared" si="89"/>
        <v>5.2688669630272145</v>
      </c>
      <c r="AZ162" s="173">
        <f t="shared" si="89"/>
        <v>5.2434869348368203</v>
      </c>
      <c r="BA162" s="173">
        <f t="shared" si="89"/>
        <v>5.218106906646427</v>
      </c>
      <c r="BB162" s="173">
        <f t="shared" si="89"/>
        <v>5.1927268784560336</v>
      </c>
      <c r="BC162" s="173">
        <f t="shared" si="89"/>
        <v>5.1673468502656394</v>
      </c>
      <c r="BD162" s="173">
        <f t="shared" si="89"/>
        <v>5.1165867938848528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0.31976146590046617</v>
      </c>
      <c r="BH162" s="173">
        <f t="shared" si="89"/>
        <v>0.31976146590046617</v>
      </c>
      <c r="BI162" s="173">
        <f t="shared" si="89"/>
        <v>0.31976146590046617</v>
      </c>
      <c r="BJ162" s="173">
        <f t="shared" si="89"/>
        <v>0.31976146590046617</v>
      </c>
      <c r="BK162" s="173">
        <f t="shared" si="89"/>
        <v>0.31976146590046617</v>
      </c>
      <c r="BL162" s="173">
        <f t="shared" si="89"/>
        <v>0.31976146590046617</v>
      </c>
      <c r="BM162" s="173">
        <f t="shared" si="89"/>
        <v>0.31976146590046617</v>
      </c>
      <c r="BN162" s="173">
        <f t="shared" si="89"/>
        <v>5.218106906646427</v>
      </c>
      <c r="BO162" s="173">
        <f t="shared" si="89"/>
        <v>4.3551859481730455</v>
      </c>
      <c r="BP162" s="173">
        <f t="shared" si="89"/>
        <v>4.3551859481730455</v>
      </c>
      <c r="BQ162" s="173">
        <f t="shared" si="89"/>
        <v>5.3957671039791819</v>
      </c>
      <c r="BR162" s="173">
        <f t="shared" si="89"/>
        <v>5.3957671039791819</v>
      </c>
      <c r="BS162" s="173">
        <f t="shared" si="89"/>
        <v>5.3957671039791819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51.442592431963568</v>
      </c>
      <c r="AW163" s="62">
        <f t="shared" ref="AW163:BS163" si="92">AW147+AW148*AW162</f>
        <v>51.35376233329719</v>
      </c>
      <c r="AX163" s="62">
        <f t="shared" si="92"/>
        <v>51.264932234630813</v>
      </c>
      <c r="AY163" s="62">
        <f t="shared" si="92"/>
        <v>51.220517185297624</v>
      </c>
      <c r="AZ163" s="62">
        <f t="shared" si="92"/>
        <v>51.176102135964435</v>
      </c>
      <c r="BA163" s="62">
        <f t="shared" si="92"/>
        <v>30.131687086631246</v>
      </c>
      <c r="BB163" s="62">
        <f t="shared" si="92"/>
        <v>30.087272037298057</v>
      </c>
      <c r="BC163" s="62">
        <f t="shared" si="92"/>
        <v>30.042856987964868</v>
      </c>
      <c r="BD163" s="62">
        <f t="shared" si="92"/>
        <v>29.954026889298493</v>
      </c>
      <c r="BE163" s="62">
        <f t="shared" si="92"/>
        <v>30.131687086631246</v>
      </c>
      <c r="BF163" s="62">
        <f t="shared" si="92"/>
        <v>30.131687086631246</v>
      </c>
      <c r="BG163" s="62">
        <f t="shared" si="92"/>
        <v>21.559582565325815</v>
      </c>
      <c r="BH163" s="62">
        <f t="shared" si="92"/>
        <v>21.559582565325815</v>
      </c>
      <c r="BI163" s="62">
        <f t="shared" si="92"/>
        <v>21.559582565325815</v>
      </c>
      <c r="BJ163" s="62">
        <f t="shared" si="92"/>
        <v>21.559582565325815</v>
      </c>
      <c r="BK163" s="62">
        <f t="shared" si="92"/>
        <v>21.559582565325815</v>
      </c>
      <c r="BL163" s="62">
        <f t="shared" si="92"/>
        <v>21.559582565325815</v>
      </c>
      <c r="BM163" s="62">
        <f t="shared" si="92"/>
        <v>21.559582565325815</v>
      </c>
      <c r="BN163" s="62">
        <f t="shared" si="92"/>
        <v>30.131687086631246</v>
      </c>
      <c r="BO163" s="62">
        <f t="shared" si="92"/>
        <v>28.621575409302828</v>
      </c>
      <c r="BP163" s="62">
        <f t="shared" si="92"/>
        <v>49.621575409302828</v>
      </c>
      <c r="BQ163" s="62">
        <f t="shared" si="92"/>
        <v>51.442592431963568</v>
      </c>
      <c r="BR163" s="62">
        <f t="shared" si="92"/>
        <v>51.442592431963568</v>
      </c>
      <c r="BS163" s="62">
        <f t="shared" si="92"/>
        <v>51.442592431963568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57.507144960000012</v>
      </c>
      <c r="D165" s="263">
        <f t="shared" si="50"/>
        <v>55.212595535162109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37.419010456239995</v>
      </c>
      <c r="D166" s="263">
        <f t="shared" si="50"/>
        <v>35.925982607611964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7</v>
      </c>
      <c r="AW168" s="190">
        <f>IF(AW122&gt;0,HLOOKUP(AW122,[1]Trav!$C$11:$O$31,$AU$166),0)</f>
        <v>7</v>
      </c>
      <c r="AX168" s="190">
        <f>IF(AX122&gt;0,HLOOKUP(AX122,[1]Trav!$C$11:$O$31,$AU$166),0)</f>
        <v>7</v>
      </c>
      <c r="AY168" s="190">
        <f>IF(AY122&gt;0,HLOOKUP(AY122,[1]Trav!$C$11:$O$31,$AU$166),0)</f>
        <v>7</v>
      </c>
      <c r="AZ168" s="190">
        <f>IF(AZ122&gt;0,HLOOKUP(AZ122,[1]Trav!$C$11:$O$31,$AU$166),0)</f>
        <v>7</v>
      </c>
      <c r="BA168" s="190">
        <f>IF(BA122&gt;0,HLOOKUP(BA122,[1]Trav!$C$11:$O$31,$AU$166),0)</f>
        <v>7</v>
      </c>
      <c r="BB168" s="190">
        <f>IF(BB122&gt;0,HLOOKUP(BB122,[1]Trav!$C$11:$O$31,$AU$166),0)</f>
        <v>7</v>
      </c>
      <c r="BC168" s="190">
        <f>IF(BC122&gt;0,HLOOKUP(BC122,[1]Trav!$C$11:$O$31,$AU$166),0)</f>
        <v>7</v>
      </c>
      <c r="BD168" s="190">
        <f>IF(BD122&gt;0,HLOOKUP(BD122,[1]Trav!$C$11:$O$31,$AU$166),0)</f>
        <v>7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7</v>
      </c>
      <c r="BP168" s="190">
        <f>IF(BP122&gt;0,HLOOKUP(BP122,[1]Trav!$C$11:$O$31,$AU$166),0)</f>
        <v>7</v>
      </c>
      <c r="BQ168" s="190">
        <f>IF(BQ122&gt;0,HLOOKUP(BQ122,[1]Trav!$C$11:$O$31,$AU$166),0)</f>
        <v>7</v>
      </c>
      <c r="BR168" s="190">
        <f>IF(BR122&gt;0,HLOOKUP(BR122,[1]Trav!$C$11:$O$31,$AU$166),0)</f>
        <v>7</v>
      </c>
      <c r="BS168" s="190">
        <f>IF(BS122&gt;0,HLOOKUP(BS122,[1]Trav!$C$11:$O$31,$AU$166),0)</f>
        <v>7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140.00700000000001</v>
      </c>
      <c r="D169" s="263">
        <f t="shared" si="50"/>
        <v>134.42068578553616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14</v>
      </c>
      <c r="BB169" s="190">
        <f>IF(BB123&gt;0,HLOOKUP(BB123,[1]Trav!$C$11:$O$31,$AU$166),0)</f>
        <v>14</v>
      </c>
      <c r="BC169" s="190">
        <f>IF(BC123&gt;0,HLOOKUP(BC123,[1]Trav!$C$11:$O$31,$AU$166),0)</f>
        <v>14</v>
      </c>
      <c r="BD169" s="190">
        <f>IF(BD123&gt;0,HLOOKUP(BD123,[1]Trav!$C$11:$O$31,$AU$166),0)</f>
        <v>14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98.636252439443496</v>
      </c>
      <c r="D170" s="263">
        <f t="shared" si="50"/>
        <v>94.70064136954052</v>
      </c>
      <c r="AT170" s="189" t="str">
        <f t="shared" si="95"/>
        <v>beliers</v>
      </c>
      <c r="AV170" s="190">
        <f>IF(AV124&gt;0,HLOOKUP(AV124,[1]Trav!$C$11:$O$31,$AU$166),0)</f>
        <v>7</v>
      </c>
      <c r="AW170" s="190">
        <f>IF(AW124&gt;0,HLOOKUP(AW124,[1]Trav!$C$11:$O$31,$AU$166),0)</f>
        <v>7</v>
      </c>
      <c r="AX170" s="190">
        <f>IF(AX124&gt;0,HLOOKUP(AX124,[1]Trav!$C$11:$O$31,$AU$166),0)</f>
        <v>7</v>
      </c>
      <c r="AY170" s="190">
        <f>IF(AY124&gt;0,HLOOKUP(AY124,[1]Trav!$C$11:$O$31,$AU$166),0)</f>
        <v>7</v>
      </c>
      <c r="AZ170" s="190">
        <f>IF(AZ124&gt;0,HLOOKUP(AZ124,[1]Trav!$C$11:$O$31,$AU$166),0)</f>
        <v>7</v>
      </c>
      <c r="BA170" s="190">
        <f>IF(BA124&gt;0,HLOOKUP(BA124,[1]Trav!$C$11:$O$31,$AU$166),0)</f>
        <v>7</v>
      </c>
      <c r="BB170" s="190">
        <f>IF(BB124&gt;0,HLOOKUP(BB124,[1]Trav!$C$11:$O$31,$AU$166),0)</f>
        <v>7</v>
      </c>
      <c r="BC170" s="190">
        <f>IF(BC124&gt;0,HLOOKUP(BC124,[1]Trav!$C$11:$O$31,$AU$166),0)</f>
        <v>7</v>
      </c>
      <c r="BD170" s="190">
        <f>IF(BD124&gt;0,HLOOKUP(BD124,[1]Trav!$C$11:$O$31,$AU$166),0)</f>
        <v>5.25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7</v>
      </c>
      <c r="BP170" s="190">
        <f>IF(BP124&gt;0,HLOOKUP(BP124,[1]Trav!$C$11:$O$31,$AU$166),0)</f>
        <v>7</v>
      </c>
      <c r="BQ170" s="190">
        <f>IF(BQ124&gt;0,HLOOKUP(BQ124,[1]Trav!$C$11:$O$31,$AU$166),0)</f>
        <v>7</v>
      </c>
      <c r="BR170" s="190">
        <f>IF(BR124&gt;0,HLOOKUP(BR124,[1]Trav!$C$11:$O$31,$AU$166),0)</f>
        <v>7</v>
      </c>
      <c r="BS170" s="190">
        <f>IF(BS124&gt;0,HLOOKUP(BS124,[1]Trav!$C$11:$O$31,$AU$166),0)</f>
        <v>7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113.80500000000001</v>
      </c>
      <c r="D171" s="263">
        <f t="shared" si="50"/>
        <v>109.26415211970075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143.69999999999999</v>
      </c>
      <c r="D172" s="263">
        <f t="shared" si="50"/>
        <v>137.96633416458852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41.370747560556509</v>
      </c>
      <c r="D173" s="263">
        <f t="shared" si="50"/>
        <v>39.720044415995652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70.5</v>
      </c>
      <c r="D174" s="263">
        <f t="shared" si="50"/>
        <v>67.687032418952612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-29.894999999999982</v>
      </c>
      <c r="D175" s="263">
        <f>C175*$D$82/$C$82</f>
        <v>-28.702182044887763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29.894999999999982</v>
      </c>
      <c r="D176" s="263">
        <f>C176*$D$82/$C$82</f>
        <v>28.702182044887763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88</v>
      </c>
      <c r="D178" s="173">
        <f>ROUND((D170+D171)/(D170+D172),2)*100</f>
        <v>88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42</v>
      </c>
      <c r="BB178" s="173">
        <f t="shared" si="98"/>
        <v>42</v>
      </c>
      <c r="BC178" s="173">
        <f t="shared" si="98"/>
        <v>42</v>
      </c>
      <c r="BD178" s="173">
        <f t="shared" si="98"/>
        <v>40.25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28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49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28</v>
      </c>
      <c r="CM178" s="173">
        <f t="shared" si="99"/>
        <v>28</v>
      </c>
      <c r="CN178" s="173">
        <f t="shared" si="99"/>
        <v>28</v>
      </c>
      <c r="CO178" s="173">
        <f t="shared" si="99"/>
        <v>28</v>
      </c>
      <c r="CP178" s="173">
        <f t="shared" si="99"/>
        <v>28</v>
      </c>
      <c r="CQ178" s="173">
        <f t="shared" si="99"/>
        <v>28</v>
      </c>
      <c r="CR178" s="173">
        <f t="shared" si="99"/>
        <v>28</v>
      </c>
      <c r="CS178" s="173">
        <f t="shared" si="99"/>
        <v>28</v>
      </c>
      <c r="CT178" s="173">
        <f t="shared" si="99"/>
        <v>49</v>
      </c>
      <c r="CU178" s="173">
        <f t="shared" si="99"/>
        <v>47.25</v>
      </c>
      <c r="CV178" s="173">
        <f t="shared" si="99"/>
        <v>40.25</v>
      </c>
      <c r="CW178" s="173">
        <f t="shared" si="99"/>
        <v>40.25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43.699999999999996</v>
      </c>
      <c r="D179" s="263">
        <f>C179*$D$82/$C$82</f>
        <v>41.956359102244384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0</v>
      </c>
      <c r="D189" s="173">
        <f t="shared" si="101"/>
        <v>0</v>
      </c>
      <c r="AH189" s="15"/>
      <c r="AJ189" s="14" t="s">
        <v>1114</v>
      </c>
      <c r="AK189" s="30">
        <f>D189</f>
        <v>0</v>
      </c>
      <c r="AO189" s="173">
        <f>ROUND((([1]Protect!$B$5/[1]Protect!$B$11)+[1]Protect!$B$8)*AK189,0)</f>
        <v>0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7.35</v>
      </c>
      <c r="AN191" s="173">
        <f>[1]Eco!$B$111</f>
        <v>28.3</v>
      </c>
      <c r="AO191" s="173">
        <f>AK191*AN191</f>
        <v>208.005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208.005</v>
      </c>
    </row>
    <row r="193" spans="1:43" x14ac:dyDescent="0.25">
      <c r="B193" s="14" t="s">
        <v>1309</v>
      </c>
      <c r="C193" s="173">
        <f>(Travail!F75+Travail!F76+Travail!F81)/8</f>
        <v>0</v>
      </c>
      <c r="D193" s="173">
        <f>C193</f>
        <v>0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61917</v>
      </c>
      <c r="D194" s="261">
        <f>ROUND(C194*D$82/C$82,0)</f>
        <v>59446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42858</v>
      </c>
      <c r="D195" s="261">
        <f t="shared" ref="D195:D200" si="102">ROUND(C195*D$82/C$82,0)</f>
        <v>41148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11018</v>
      </c>
      <c r="D197" s="261">
        <f t="shared" si="102"/>
        <v>10578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1152.1197007481296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11542</v>
      </c>
      <c r="D199" s="261">
        <f t="shared" si="102"/>
        <v>11081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1</v>
      </c>
      <c r="AK202" s="173">
        <f>IF(AJ202=0,0,[1]Protect!B78)</f>
        <v>20000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11392</v>
      </c>
      <c r="D206" s="261">
        <f>ROUND(C206*D$82/C$82,0)</f>
        <v>10937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7868</v>
      </c>
      <c r="D208" s="261">
        <f>ROUND(C208*D$82/C$82,0)</f>
        <v>7554</v>
      </c>
      <c r="S208" s="14" t="s">
        <v>978</v>
      </c>
      <c r="T208" s="30">
        <f>L212</f>
        <v>112.75415760598503</v>
      </c>
      <c r="W208" s="14" t="s">
        <v>979</v>
      </c>
      <c r="X208" s="173">
        <f>IF(T208&gt;50,25,IF(T208&gt;25,T208-25,0))</f>
        <v>25</v>
      </c>
      <c r="Y208" s="173">
        <f>Y209+0.66*Y205</f>
        <v>240.28</v>
      </c>
      <c r="Z208" s="173">
        <f t="shared" ref="Z208:Z209" si="105">X208*Y208</f>
        <v>6007</v>
      </c>
      <c r="AF208" s="5"/>
      <c r="AK208" s="14" t="s">
        <v>1134</v>
      </c>
      <c r="AL208" s="173">
        <f>IF(AO192&lt;SUM(AK200:AK204),AO192,SUM(AK200:AK204))</f>
        <v>208.005</v>
      </c>
      <c r="AQ208" s="245"/>
    </row>
    <row r="209" spans="1:43" x14ac:dyDescent="0.25">
      <c r="B209" s="19" t="s">
        <v>989</v>
      </c>
      <c r="C209" s="173">
        <f>ROUND('Calcul éco'!J45,0)</f>
        <v>15957</v>
      </c>
      <c r="D209" s="264">
        <f>IF(Scénario!K9=0,0,ROUND(Z210,0))</f>
        <v>15957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208.005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78.516957605985027</v>
      </c>
      <c r="Y210" s="40" t="s">
        <v>949</v>
      </c>
      <c r="Z210" s="62">
        <f>SUM(Z207:Z209)*IF(Scénario!K2="Exploit. Ind.",1,Scénario!K3)</f>
        <v>15957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48306.2</v>
      </c>
      <c r="D211" s="264">
        <f>ROUND(SUM(D201:D210),0)</f>
        <v>47116</v>
      </c>
      <c r="E211" s="17" t="s">
        <v>1331</v>
      </c>
      <c r="K211" s="40" t="s">
        <v>995</v>
      </c>
      <c r="L211" s="62">
        <f>L209+L210</f>
        <v>112.75415760598503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21108.600000000002</v>
      </c>
      <c r="D212" s="261">
        <f>ROUND(C212*D$82/C$82,0)</f>
        <v>20266</v>
      </c>
      <c r="K212" s="40" t="s">
        <v>1334</v>
      </c>
      <c r="L212" s="62">
        <f>L211/IF(Scénario!K2="Exploit. Ind.",1,Scénario!K3)</f>
        <v>112.75415760598503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7974.4</v>
      </c>
      <c r="D214" s="261">
        <f t="shared" si="106"/>
        <v>7656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29083</v>
      </c>
      <c r="D216" s="261">
        <f t="shared" si="106"/>
        <v>27923</v>
      </c>
      <c r="G216" s="14" t="s">
        <v>568</v>
      </c>
      <c r="H216" s="14" t="str">
        <f>Troupeau!B3</f>
        <v>OL</v>
      </c>
      <c r="I216" s="30">
        <f>'Calcul éco'!S50</f>
        <v>126</v>
      </c>
      <c r="J216" s="48">
        <f>I216*D$82/C$82</f>
        <v>120.97256857855361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2049.98</v>
      </c>
      <c r="D217" s="261">
        <f t="shared" si="106"/>
        <v>1968</v>
      </c>
      <c r="G217" s="19" t="s">
        <v>601</v>
      </c>
      <c r="H217" s="19" t="str">
        <f>Troupeau!C3</f>
        <v>BV</v>
      </c>
      <c r="I217" s="30">
        <f>'Calcul éco'!S51</f>
        <v>48</v>
      </c>
      <c r="J217" s="48">
        <f t="shared" ref="J217:J218" si="107">I217*D$82/C$82</f>
        <v>46.084788029925186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10449.304999999997</v>
      </c>
      <c r="D218" s="261">
        <f t="shared" si="106"/>
        <v>10032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0</v>
      </c>
      <c r="D219" s="261">
        <f t="shared" si="106"/>
        <v>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174</v>
      </c>
      <c r="J220" s="30">
        <f>SUM(J216:J219)</f>
        <v>167.05735660847878</v>
      </c>
    </row>
    <row r="221" spans="1:43" x14ac:dyDescent="0.25">
      <c r="B221" s="14" t="s">
        <v>1346</v>
      </c>
      <c r="C221" s="173">
        <f>ROUND(SUM(C216:C220),0)</f>
        <v>41582</v>
      </c>
      <c r="D221" s="264">
        <f>ROUND(SUM(D216:D220),0)</f>
        <v>39923</v>
      </c>
      <c r="E221" s="17" t="s">
        <v>1345</v>
      </c>
      <c r="H221" s="14" t="s">
        <v>1001</v>
      </c>
      <c r="I221" s="30">
        <f>I220*[1]Eco!$B$25</f>
        <v>81.78</v>
      </c>
      <c r="J221" s="30">
        <f>J220*[1]Eco!$B$25</f>
        <v>78.516957605985027</v>
      </c>
    </row>
    <row r="222" spans="1:43" x14ac:dyDescent="0.25">
      <c r="A222" s="2" t="s">
        <v>1067</v>
      </c>
      <c r="B222" s="14" t="s">
        <v>1347</v>
      </c>
      <c r="C222" s="173">
        <f>'Calcul éco'!J149</f>
        <v>2508.5</v>
      </c>
      <c r="D222" s="261">
        <f>ROUND(C222*D$82/C$82,0)</f>
        <v>2408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750</v>
      </c>
      <c r="D223" s="173">
        <f>C223</f>
        <v>750</v>
      </c>
      <c r="J223" s="14" t="s">
        <v>1349</v>
      </c>
      <c r="K223" s="30">
        <f>Scénario!K55/0.15</f>
        <v>240</v>
      </c>
      <c r="L223" s="30">
        <f>K223*'Synthèse résultats'!D$82/'Synthèse résultats'!C$82</f>
        <v>230.42394014962593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5400</v>
      </c>
      <c r="D224" s="173">
        <f>C224</f>
        <v>5400</v>
      </c>
      <c r="G224" s="14"/>
      <c r="H224" s="14"/>
      <c r="J224" s="14" t="s">
        <v>1350</v>
      </c>
      <c r="K224" s="30">
        <f>Scénario!K62</f>
        <v>12</v>
      </c>
      <c r="L224" s="30">
        <f>K224*'Synthèse résultats'!D$82/'Synthèse résultats'!C$82</f>
        <v>11.521197007481296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12964</v>
      </c>
      <c r="D226" s="261">
        <f>ROUND(C226*D$82/C$82,0)</f>
        <v>12447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8430.2999999999993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0</v>
      </c>
      <c r="D230" s="261">
        <f t="shared" si="109"/>
        <v>0</v>
      </c>
    </row>
    <row r="231" spans="1:49" x14ac:dyDescent="0.25">
      <c r="B231" s="14" t="s">
        <v>1083</v>
      </c>
      <c r="C231" s="173">
        <f>'Calcul éco'!J159</f>
        <v>0</v>
      </c>
      <c r="D231" s="261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0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30053</v>
      </c>
      <c r="D236" s="264">
        <f>ROUND(SUM(D222:D235),0)</f>
        <v>29099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38588.199999999997</v>
      </c>
      <c r="D237" s="264">
        <f>D194+D211-D221-D236</f>
        <v>37540</v>
      </c>
    </row>
    <row r="238" spans="1:49" x14ac:dyDescent="0.25">
      <c r="B238" s="211" t="s">
        <v>1090</v>
      </c>
      <c r="C238" s="173">
        <f>ROUND(C237/Scénario!$K$4,0)</f>
        <v>25725</v>
      </c>
      <c r="D238" s="264">
        <f>ROUND(D237/D83,0)</f>
        <v>18770</v>
      </c>
    </row>
    <row r="239" spans="1:49" x14ac:dyDescent="0.25">
      <c r="B239" s="211" t="s">
        <v>1091</v>
      </c>
      <c r="C239" s="173">
        <f>'Calcul éco'!B177</f>
        <v>11400</v>
      </c>
      <c r="D239" s="264">
        <f>C239</f>
        <v>11400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27188</v>
      </c>
      <c r="D241" s="268">
        <f>ROUND(D237-D239-D240,0)</f>
        <v>26140</v>
      </c>
    </row>
    <row r="242" spans="1:15" x14ac:dyDescent="0.25">
      <c r="B242" s="211" t="s">
        <v>1094</v>
      </c>
      <c r="C242" s="173">
        <f>ROUND(C241/Scénario!K4,0)</f>
        <v>18125</v>
      </c>
      <c r="D242" s="264">
        <f>ROUND(D241/D83,0)</f>
        <v>13070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530.25</v>
      </c>
      <c r="D245" s="173">
        <f>C245</f>
        <v>530.25</v>
      </c>
    </row>
    <row r="246" spans="1:15" x14ac:dyDescent="0.25">
      <c r="B246" s="14" t="s">
        <v>601</v>
      </c>
      <c r="C246" s="270">
        <f>Travail!F6</f>
        <v>169.04999999999998</v>
      </c>
      <c r="D246" s="173">
        <f t="shared" ref="D246:D247" si="112">C246</f>
        <v>169.04999999999998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858.85008695652186</v>
      </c>
      <c r="D248" s="264">
        <f>ROUND(SUM(AV163:BS163),1)</f>
        <v>850.6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58.8</v>
      </c>
      <c r="D251" s="173">
        <f>C251</f>
        <v>58.8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96</v>
      </c>
      <c r="D252" s="173">
        <f t="shared" ref="D252:D253" si="113">C252</f>
        <v>96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1.2</v>
      </c>
      <c r="L255" s="190">
        <f>IF(K255&gt;[1]Trav!E118,[1]Trav!C118,[1]Trav!B118)</f>
        <v>3.7</v>
      </c>
      <c r="N255" s="274"/>
      <c r="O255">
        <f t="shared" si="114"/>
        <v>4.4400000000000004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511.5</v>
      </c>
      <c r="D257" s="261">
        <f>ROUND(C257*D$82/C$82,0)</f>
        <v>491</v>
      </c>
      <c r="E257" s="17" t="s">
        <v>1360</v>
      </c>
      <c r="J257" s="32" t="s">
        <v>789</v>
      </c>
      <c r="K257" s="173">
        <f>D72+D73+D75</f>
        <v>26.882000000000001</v>
      </c>
      <c r="L257" s="190">
        <f>IF(K257&gt;[1]Trav!E119,[1]Trav!C119,[1]Trav!B119)</f>
        <v>1.4</v>
      </c>
      <c r="N257" s="274"/>
      <c r="O257">
        <f t="shared" si="114"/>
        <v>37.634799999999998</v>
      </c>
    </row>
    <row r="258" spans="1:15" x14ac:dyDescent="0.25">
      <c r="A258" s="2"/>
      <c r="B258" s="14" t="s">
        <v>601</v>
      </c>
      <c r="C258" s="270">
        <f>Travail!F32</f>
        <v>90</v>
      </c>
      <c r="D258" s="261">
        <f t="shared" ref="D258:D259" si="115">ROUND(C258*D$82/C$82,0)</f>
        <v>86</v>
      </c>
      <c r="E258" s="17"/>
      <c r="J258" s="32" t="s">
        <v>790</v>
      </c>
      <c r="K258" s="173">
        <f>D85*((100-Scénario!K31)/100)</f>
        <v>20.305800000000001</v>
      </c>
      <c r="L258" s="190">
        <f>IF(K258&gt;[1]Trav!E121,[1]Trav!C121,[1]Trav!B121)</f>
        <v>7.2</v>
      </c>
      <c r="N258" s="274"/>
      <c r="O258">
        <f t="shared" si="114"/>
        <v>146.20176000000001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15.362</v>
      </c>
      <c r="L259" s="190">
        <f>IF(K259&gt;[1]Trav!E121,[1]Trav!C121,[1]Trav!B121)</f>
        <v>7.2</v>
      </c>
      <c r="N259" s="274"/>
      <c r="O259">
        <f t="shared" si="114"/>
        <v>110.60640000000001</v>
      </c>
    </row>
    <row r="260" spans="1:15" x14ac:dyDescent="0.25">
      <c r="A260" s="2" t="s">
        <v>767</v>
      </c>
      <c r="B260" s="14" t="s">
        <v>568</v>
      </c>
      <c r="C260" s="270">
        <f>ROUND(Travail!F35,0)</f>
        <v>880</v>
      </c>
      <c r="D260" s="264">
        <f>ROUND(Travail!B35+(Travail!D35*Travail!C35*'Synthèse résultats'!G63),0)</f>
        <v>854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0</v>
      </c>
      <c r="D261" s="261">
        <f>ROUND(C261*G63,0)</f>
        <v>0</v>
      </c>
      <c r="E261" s="17" t="s">
        <v>1362</v>
      </c>
      <c r="J261" s="32" t="s">
        <v>793</v>
      </c>
      <c r="K261" s="173">
        <f>D88</f>
        <v>2.2559999999999998</v>
      </c>
      <c r="L261" s="190">
        <f>IF(K261&gt;[1]Trav!E122,[1]Trav!C122,[1]Trav!B122)</f>
        <v>4.4000000000000004</v>
      </c>
      <c r="M261" s="5"/>
      <c r="N261" s="274"/>
      <c r="O261">
        <f t="shared" si="114"/>
        <v>9.9263999999999992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0</v>
      </c>
      <c r="L262" s="190">
        <f>[1]Trav!$B$123</f>
        <v>7.2</v>
      </c>
      <c r="M262" s="5"/>
      <c r="N262" s="274"/>
      <c r="O262">
        <f t="shared" si="114"/>
        <v>0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1</v>
      </c>
      <c r="D264" s="264">
        <f t="shared" si="116"/>
        <v>4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152</v>
      </c>
      <c r="D267" s="264">
        <f t="shared" si="116"/>
        <v>146</v>
      </c>
    </row>
    <row r="268" spans="1:15" x14ac:dyDescent="0.25">
      <c r="B268" s="32" t="s">
        <v>791</v>
      </c>
      <c r="C268" s="270">
        <f>Travail!F56</f>
        <v>115</v>
      </c>
      <c r="D268" s="264">
        <f t="shared" si="116"/>
        <v>111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10</v>
      </c>
      <c r="D270" s="264">
        <f t="shared" si="116"/>
        <v>10</v>
      </c>
    </row>
    <row r="271" spans="1:15" x14ac:dyDescent="0.25">
      <c r="B271" s="32" t="s">
        <v>795</v>
      </c>
      <c r="C271" s="270">
        <f>Travail!F59</f>
        <v>0</v>
      </c>
      <c r="D271" s="264">
        <f t="shared" si="116"/>
        <v>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1419</v>
      </c>
      <c r="C277" s="270">
        <f>Travail!F75+Travail!F81</f>
        <v>0</v>
      </c>
      <c r="D277" s="173">
        <f>C277</f>
        <v>0</v>
      </c>
    </row>
    <row r="278" spans="1:4" x14ac:dyDescent="0.25">
      <c r="B278" s="32" t="s">
        <v>1420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1386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2839</v>
      </c>
      <c r="D281" s="264">
        <f>ROUND(D245+D248+D251+D254+D257+D260+D261,0)</f>
        <v>2785</v>
      </c>
    </row>
    <row r="282" spans="1:4" x14ac:dyDescent="0.25">
      <c r="B282" s="14" t="s">
        <v>1372</v>
      </c>
      <c r="C282" s="173">
        <f>ROUND(C246+C249+C252+C255+C258,0)</f>
        <v>859</v>
      </c>
      <c r="D282" s="264">
        <f>ROUND(D246+D249+D252+D255+D258,0)</f>
        <v>855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9.34</v>
      </c>
      <c r="D284" s="173">
        <f>ROUND(D281/(Troupeau!$B$17*G63),2)</f>
        <v>9.5399999999999991</v>
      </c>
    </row>
    <row r="285" spans="1:4" x14ac:dyDescent="0.25">
      <c r="B285" s="14" t="s">
        <v>1375</v>
      </c>
      <c r="C285" s="173">
        <f>IF(Troupeau!$C$17=0,0,ROUND(C282/Troupeau!$C$17,2))</f>
        <v>45.21</v>
      </c>
      <c r="D285" s="173">
        <f>IF(Troupeau!$C$17=0,0,ROUND(D282/Troupeau!$C$17*G63,2))</f>
        <v>43.2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3698</v>
      </c>
      <c r="D287" s="264">
        <f>SUM(D281:D283)</f>
        <v>3640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333</v>
      </c>
      <c r="D289" s="264">
        <f>SUM(D262:D271)</f>
        <v>324</v>
      </c>
    </row>
    <row r="290" spans="2:4" x14ac:dyDescent="0.25">
      <c r="B290" s="14" t="s">
        <v>1421</v>
      </c>
      <c r="C290" s="270">
        <f>C275+C276+C277</f>
        <v>0</v>
      </c>
      <c r="D290" s="277">
        <f>D275+D276+D277</f>
        <v>0</v>
      </c>
    </row>
    <row r="291" spans="2:4" x14ac:dyDescent="0.25">
      <c r="B291" s="14" t="s">
        <v>1422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4631</v>
      </c>
      <c r="D292" s="264">
        <f>ROUND(SUM(D287:D291),0)</f>
        <v>4564</v>
      </c>
    </row>
    <row r="293" spans="2:4" x14ac:dyDescent="0.25">
      <c r="B293" s="14" t="s">
        <v>874</v>
      </c>
      <c r="C293" s="173">
        <f>ROUND(IF(Scénario!$K$129=1,SUM(C275:C280),SUM(C278:C280)),0)</f>
        <v>0</v>
      </c>
      <c r="D293" s="173">
        <f>ROUND(IF(Scénario!$K$129=1,SUM(D275:D280),SUM(D278:D280)),0)</f>
        <v>0</v>
      </c>
    </row>
    <row r="294" spans="2:4" x14ac:dyDescent="0.25">
      <c r="B294" s="14" t="s">
        <v>875</v>
      </c>
      <c r="C294" s="173">
        <f>ROUND((C292-C293)/C83,0)</f>
        <v>3087</v>
      </c>
      <c r="D294" s="173">
        <f>ROUND((D292-D293)/D83,0)</f>
        <v>2282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0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58.799145479443467</v>
      </c>
    </row>
    <row r="299" spans="2:4" x14ac:dyDescent="0.25">
      <c r="B299" s="14" t="s">
        <v>1451</v>
      </c>
      <c r="C299" s="173">
        <f>IF(Troupeau!$B$3="OL",CdTrp1!AA221,0)</f>
        <v>38.48082199652174</v>
      </c>
    </row>
    <row r="300" spans="2:4" x14ac:dyDescent="0.25">
      <c r="B300" s="14" t="s">
        <v>1452</v>
      </c>
      <c r="C300" s="173">
        <f>IF(Troupeau!$B$3="BV",CdTrp1!AA220,0)+IF(Troupeau!$C$3="BV",CdTrp2!AA220,0)</f>
        <v>39.837106959999993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v>0</v>
      </c>
    </row>
    <row r="304" spans="2:4" x14ac:dyDescent="0.25">
      <c r="B304" s="14" t="s">
        <v>1456</v>
      </c>
      <c r="C304" s="173">
        <f>Protection!BL31+Protection!BK31</f>
        <v>28</v>
      </c>
    </row>
    <row r="305" spans="2:3" x14ac:dyDescent="0.25">
      <c r="B305" s="14" t="s">
        <v>1457</v>
      </c>
      <c r="C305" s="173">
        <f>Protection!BJ31</f>
        <v>11.1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0</v>
      </c>
    </row>
    <row r="308" spans="2:3" x14ac:dyDescent="0.25">
      <c r="B308" s="14" t="s">
        <v>1460</v>
      </c>
      <c r="C308" s="173">
        <f>'Calcul éco'!X235</f>
        <v>0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A9" zoomScaleNormal="100" workbookViewId="0">
      <selection activeCell="F23" sqref="F23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4</v>
      </c>
      <c r="K17" s="60">
        <v>5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279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92</v>
      </c>
      <c r="K18" s="76">
        <f>HLOOKUP(K$17,[1]Anx!$C$8:$CO$37,$I18)</f>
        <v>84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265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348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125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278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20</v>
      </c>
      <c r="K21" s="76">
        <f>HLOOKUP(K$17,[1]Anx!$C$8:$CO$37,$I21)</f>
        <v>10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69</v>
      </c>
      <c r="C22" s="61">
        <f>ROUNDDOWN(C17*K22/100,0)</f>
        <v>4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23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69</v>
      </c>
      <c r="C23" s="61">
        <f>IF(K$23&gt;1,C22,0)</f>
        <v>4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1.2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4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2.2999999999999998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40280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152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30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10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39</v>
      </c>
      <c r="C37" s="61">
        <f>C22-C36</f>
        <v>4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70</v>
      </c>
      <c r="C39" s="61">
        <f t="shared" ref="C39:E39" si="2">IF(K26=0,C21/2-C22,C21/2-C22-C30)</f>
        <v>2.5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139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55.131999999999998</v>
      </c>
      <c r="C49" s="75">
        <f>SUM(C50:C61)</f>
        <v>23.149999999999995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42.56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1.9320000000000004</v>
      </c>
      <c r="C51" s="61">
        <f t="shared" ref="C51:C61" si="4">C22*K51</f>
        <v>1.4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9.66</v>
      </c>
      <c r="C52" s="61">
        <f t="shared" si="4"/>
        <v>2.4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3.2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0.98000000000000009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15884</v>
      </c>
      <c r="C72" s="61">
        <f t="shared" ref="C72:E76" si="8">C$17*K72</f>
        <v>5454.9000000000005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52.25</v>
      </c>
      <c r="K72" s="76">
        <f>HLOOKUP(K$17,[1]Anx!$C$50:$CO$85,$I72)</f>
        <v>287.10000000000002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9819.1999999999989</v>
      </c>
      <c r="C73" s="61">
        <f t="shared" si="8"/>
        <v>2325.6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32.299999999999997</v>
      </c>
      <c r="K73" s="76">
        <f>HLOOKUP(K$17,[1]Anx!$C$50:$CO$85,$I73)</f>
        <v>122.4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2888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9.5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7265.7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105.3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36" activePane="bottomLeft" state="frozen"/>
      <selection pane="bottomLeft" activeCell="V55" sqref="V5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4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15884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15.9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9819.1999999999989</v>
      </c>
      <c r="AK19" s="54">
        <f t="shared" ref="AK19:AK52" si="4">IF($AH19=AK$17,ROUND($AI19/1000,1),0)</f>
        <v>9.8000000000000007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2888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2.9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7265.7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7.3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3"/>
        <v>0</v>
      </c>
      <c r="AI24" s="129">
        <f>Troupeau!B78</f>
        <v>0</v>
      </c>
      <c r="AK24" s="54">
        <f t="shared" si="4"/>
        <v>0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9.8000000000000007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15.9</v>
      </c>
      <c r="AV54" s="84">
        <f t="shared" si="17"/>
        <v>0</v>
      </c>
      <c r="AW54" s="84">
        <f t="shared" si="17"/>
        <v>2.9</v>
      </c>
      <c r="AX54" s="84">
        <f t="shared" si="17"/>
        <v>7.3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33.084000000000003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252.58434782608697</v>
      </c>
      <c r="F63" s="61">
        <f t="shared" si="18"/>
        <v>278.21286956521737</v>
      </c>
      <c r="G63" s="61">
        <f t="shared" si="18"/>
        <v>276.77878260869568</v>
      </c>
      <c r="H63" s="61">
        <f t="shared" si="18"/>
        <v>266.46260869565225</v>
      </c>
      <c r="I63" s="61">
        <f t="shared" si="18"/>
        <v>265.07478260869567</v>
      </c>
      <c r="J63" s="61">
        <f t="shared" si="18"/>
        <v>271.04243478260872</v>
      </c>
      <c r="K63" s="61">
        <f t="shared" si="18"/>
        <v>276.77878260869568</v>
      </c>
      <c r="L63" s="61">
        <f t="shared" si="18"/>
        <v>267.85043478260872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276.77878260869568</v>
      </c>
      <c r="U63" s="61">
        <f t="shared" si="18"/>
        <v>302.59234782608695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14.914504347826087</v>
      </c>
      <c r="H65" s="61">
        <f t="shared" si="20"/>
        <v>14.433391304347827</v>
      </c>
      <c r="I65" s="61">
        <f t="shared" si="20"/>
        <v>14.433391304347827</v>
      </c>
      <c r="J65" s="61">
        <f t="shared" si="20"/>
        <v>37.286260869565226</v>
      </c>
      <c r="K65" s="61">
        <f t="shared" si="20"/>
        <v>37.286260869565226</v>
      </c>
      <c r="L65" s="61">
        <f t="shared" si="20"/>
        <v>36.083478260869569</v>
      </c>
      <c r="M65" s="61">
        <f t="shared" si="20"/>
        <v>36.083478260869569</v>
      </c>
      <c r="N65" s="61">
        <f t="shared" si="20"/>
        <v>37.286260869565226</v>
      </c>
      <c r="O65" s="61">
        <f t="shared" si="20"/>
        <v>37.286260869565226</v>
      </c>
      <c r="P65" s="61">
        <f t="shared" si="20"/>
        <v>37.286260869565226</v>
      </c>
      <c r="Q65" s="61">
        <f t="shared" si="20"/>
        <v>37.286260869565226</v>
      </c>
      <c r="R65" s="61">
        <f t="shared" si="20"/>
        <v>36.083478260869569</v>
      </c>
      <c r="S65" s="61">
        <f t="shared" si="20"/>
        <v>36.083478260869569</v>
      </c>
      <c r="T65" s="61">
        <f t="shared" si="20"/>
        <v>37.286260869565226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603</v>
      </c>
      <c r="C73" s="64">
        <f t="shared" ref="C73:Y73" si="28">ROUND(SUM(C63:C72),0)</f>
        <v>598</v>
      </c>
      <c r="D73" s="64">
        <f t="shared" si="28"/>
        <v>535</v>
      </c>
      <c r="E73" s="64">
        <f t="shared" si="28"/>
        <v>280</v>
      </c>
      <c r="F73" s="64">
        <f t="shared" si="28"/>
        <v>308</v>
      </c>
      <c r="G73" s="64">
        <f t="shared" si="28"/>
        <v>292</v>
      </c>
      <c r="H73" s="64">
        <f t="shared" si="28"/>
        <v>281</v>
      </c>
      <c r="I73" s="64">
        <f t="shared" si="28"/>
        <v>280</v>
      </c>
      <c r="J73" s="64">
        <f t="shared" si="28"/>
        <v>308</v>
      </c>
      <c r="K73" s="64">
        <f t="shared" si="28"/>
        <v>314</v>
      </c>
      <c r="L73" s="64">
        <f t="shared" si="28"/>
        <v>304</v>
      </c>
      <c r="M73" s="64">
        <f t="shared" si="28"/>
        <v>36</v>
      </c>
      <c r="N73" s="64">
        <f t="shared" si="28"/>
        <v>37</v>
      </c>
      <c r="O73" s="64">
        <f t="shared" si="28"/>
        <v>37</v>
      </c>
      <c r="P73" s="64">
        <f t="shared" si="28"/>
        <v>37</v>
      </c>
      <c r="Q73" s="64">
        <f t="shared" si="28"/>
        <v>37</v>
      </c>
      <c r="R73" s="64">
        <f t="shared" si="28"/>
        <v>36</v>
      </c>
      <c r="S73" s="64">
        <f t="shared" si="28"/>
        <v>36</v>
      </c>
      <c r="T73" s="64">
        <f t="shared" si="28"/>
        <v>314</v>
      </c>
      <c r="U73" s="64">
        <f t="shared" si="28"/>
        <v>303</v>
      </c>
      <c r="V73" s="64">
        <f t="shared" si="28"/>
        <v>586</v>
      </c>
      <c r="W73" s="64">
        <f t="shared" si="28"/>
        <v>584</v>
      </c>
      <c r="X73" s="64">
        <f t="shared" si="28"/>
        <v>603</v>
      </c>
      <c r="Y73" s="64">
        <f t="shared" si="28"/>
        <v>603</v>
      </c>
      <c r="Z73" s="52"/>
      <c r="AA73" s="56">
        <f>ROUND(SUM(B73:Y73),0)</f>
        <v>7352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3</v>
      </c>
      <c r="G77" s="60">
        <v>3</v>
      </c>
      <c r="H77" s="60">
        <v>3</v>
      </c>
      <c r="I77" s="60">
        <v>3</v>
      </c>
      <c r="J77" s="60">
        <v>3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3</v>
      </c>
      <c r="V77" s="60">
        <v>3</v>
      </c>
      <c r="W77" s="60">
        <v>3</v>
      </c>
      <c r="X77" s="60">
        <v>3</v>
      </c>
      <c r="Y77" s="60">
        <v>2</v>
      </c>
      <c r="AB77" t="s">
        <v>447</v>
      </c>
      <c r="AC77">
        <f>COUNTIF($B$76:$Y$85,"&gt;0")/2</f>
        <v>31</v>
      </c>
      <c r="AG77" s="5"/>
    </row>
    <row r="78" spans="1:33" x14ac:dyDescent="0.25">
      <c r="A78" s="128" t="str">
        <f>A$17</f>
        <v>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B78">
        <v>1</v>
      </c>
      <c r="AC78">
        <f>COUNTIF($B$76:$Y$85,AB78)/2</f>
        <v>14</v>
      </c>
      <c r="AG78" s="5"/>
    </row>
    <row r="79" spans="1:33" x14ac:dyDescent="0.25">
      <c r="A79" s="127" t="str">
        <f>A$18</f>
        <v>beliers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2</v>
      </c>
      <c r="I79" s="60">
        <v>2</v>
      </c>
      <c r="J79" s="60">
        <v>1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v>2</v>
      </c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 t="shared" ref="AC79:AC81" si="29">COUNTIF($B$76:$Y$85,AB79)/2</f>
        <v>9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4.5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0.33</v>
      </c>
      <c r="U123" s="156">
        <v>0.33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0.5</v>
      </c>
      <c r="K126" s="60">
        <v>0.5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>
        <v>1</v>
      </c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3.5848387923478264</v>
      </c>
      <c r="H136" s="61">
        <f t="shared" si="51"/>
        <v>3.451223707826089</v>
      </c>
      <c r="I136" s="61">
        <f t="shared" si="51"/>
        <v>3.4332485843478269</v>
      </c>
      <c r="J136" s="61">
        <f t="shared" si="51"/>
        <v>3.5105416153043487</v>
      </c>
      <c r="K136" s="61">
        <f t="shared" si="51"/>
        <v>1.1148649363478258</v>
      </c>
      <c r="L136" s="61">
        <f t="shared" si="51"/>
        <v>1.0789015513043476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2.9336890283826089</v>
      </c>
      <c r="U136" s="61">
        <f t="shared" si="51"/>
        <v>5.7982745690434774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104.73167391533917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0.64952666434782613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2.5759032904347827</v>
      </c>
    </row>
    <row r="139" spans="1:31" x14ac:dyDescent="0.25">
      <c r="A139" s="127" t="str">
        <f>A$18</f>
        <v>beliers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0.11185878260869568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0.11185878260869568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107.41943598838265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118.16137958722092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5.3772581885217399</v>
      </c>
      <c r="H149" s="61">
        <f t="shared" si="55"/>
        <v>5.1768355617391331</v>
      </c>
      <c r="I149" s="61">
        <f t="shared" si="55"/>
        <v>5.1498728765217399</v>
      </c>
      <c r="J149" s="61">
        <f t="shared" si="55"/>
        <v>5.2658124229565226</v>
      </c>
      <c r="K149" s="61">
        <f t="shared" si="55"/>
        <v>4.459459745391305</v>
      </c>
      <c r="L149" s="61">
        <f t="shared" si="55"/>
        <v>4.3156062052173922</v>
      </c>
      <c r="M149" s="61">
        <f t="shared" si="55"/>
        <v>5.3945077565217394</v>
      </c>
      <c r="N149" s="61">
        <f t="shared" si="55"/>
        <v>5.5743246817391308</v>
      </c>
      <c r="O149" s="61">
        <f t="shared" si="55"/>
        <v>5.5743246817391308</v>
      </c>
      <c r="P149" s="61">
        <f t="shared" si="55"/>
        <v>5.5743246817391308</v>
      </c>
      <c r="Q149" s="61">
        <f t="shared" si="55"/>
        <v>5.5743246817391308</v>
      </c>
      <c r="R149" s="61">
        <f t="shared" si="55"/>
        <v>5.3945077565217394</v>
      </c>
      <c r="S149" s="61">
        <f t="shared" si="55"/>
        <v>5.3945077565217394</v>
      </c>
      <c r="T149" s="61">
        <f t="shared" si="55"/>
        <v>1.4449513124869573</v>
      </c>
      <c r="U149" s="61">
        <f t="shared" si="55"/>
        <v>2.8558665787826092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0.70843895652173916</v>
      </c>
      <c r="C150" s="61">
        <f t="shared" si="56"/>
        <v>0.70843895652173916</v>
      </c>
      <c r="D150" s="61">
        <f t="shared" si="56"/>
        <v>0.63988034782608705</v>
      </c>
      <c r="E150" s="61">
        <f t="shared" si="56"/>
        <v>0.63988034782608705</v>
      </c>
      <c r="F150" s="61">
        <f t="shared" si="56"/>
        <v>0.70843895652173916</v>
      </c>
      <c r="G150" s="61">
        <f t="shared" si="56"/>
        <v>0.70843895652173916</v>
      </c>
      <c r="H150" s="61">
        <f t="shared" si="56"/>
        <v>0.6855860869565219</v>
      </c>
      <c r="I150" s="61">
        <f t="shared" si="56"/>
        <v>0.6855860869565219</v>
      </c>
      <c r="J150" s="61">
        <f t="shared" si="56"/>
        <v>0.70843895652173916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0.70843895652173916</v>
      </c>
      <c r="V150" s="61">
        <f t="shared" si="56"/>
        <v>0.6855860869565219</v>
      </c>
      <c r="W150" s="61">
        <f t="shared" si="56"/>
        <v>0.6855860869565219</v>
      </c>
      <c r="X150" s="61">
        <f t="shared" si="56"/>
        <v>0.70843895652173916</v>
      </c>
      <c r="Y150" s="61">
        <f t="shared" si="56"/>
        <v>0.70843895652173916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0.35025029565217397</v>
      </c>
      <c r="E151" s="61">
        <f t="shared" si="57"/>
        <v>0.35025029565217397</v>
      </c>
      <c r="F151" s="61">
        <f t="shared" si="57"/>
        <v>0.38777711304347828</v>
      </c>
      <c r="G151" s="61">
        <f t="shared" si="57"/>
        <v>0.38777711304347828</v>
      </c>
      <c r="H151" s="61">
        <f t="shared" si="57"/>
        <v>0.37526817391304346</v>
      </c>
      <c r="I151" s="61">
        <f t="shared" si="57"/>
        <v>0.37526817391304346</v>
      </c>
      <c r="J151" s="61">
        <f t="shared" si="57"/>
        <v>0.96944278260869587</v>
      </c>
      <c r="K151" s="61">
        <f t="shared" si="57"/>
        <v>0.96944278260869587</v>
      </c>
      <c r="L151" s="61">
        <f t="shared" si="57"/>
        <v>0.93817043478260886</v>
      </c>
      <c r="M151" s="61">
        <f t="shared" si="57"/>
        <v>0.93817043478260886</v>
      </c>
      <c r="N151" s="61">
        <f t="shared" si="57"/>
        <v>0.96944278260869587</v>
      </c>
      <c r="O151" s="61">
        <f t="shared" si="57"/>
        <v>0.96944278260869587</v>
      </c>
      <c r="P151" s="61">
        <f t="shared" si="57"/>
        <v>0.96944278260869587</v>
      </c>
      <c r="Q151" s="61">
        <f t="shared" si="57"/>
        <v>0.96944278260869587</v>
      </c>
      <c r="R151" s="61">
        <f t="shared" si="57"/>
        <v>0.93817043478260886</v>
      </c>
      <c r="S151" s="61">
        <f t="shared" si="57"/>
        <v>0.93817043478260886</v>
      </c>
      <c r="T151" s="61">
        <f t="shared" si="57"/>
        <v>0.31991611826086974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0.22371756521739136</v>
      </c>
      <c r="C152" s="61">
        <f t="shared" si="58"/>
        <v>0.22371756521739136</v>
      </c>
      <c r="D152" s="61">
        <f t="shared" si="58"/>
        <v>0.20206747826086963</v>
      </c>
      <c r="E152" s="61">
        <f t="shared" si="58"/>
        <v>0.20206747826086963</v>
      </c>
      <c r="F152" s="61">
        <f t="shared" si="58"/>
        <v>0.22371756521739136</v>
      </c>
      <c r="G152" s="61">
        <f t="shared" si="58"/>
        <v>0.22371756521739136</v>
      </c>
      <c r="H152" s="61">
        <f t="shared" si="58"/>
        <v>0.21650086956521744</v>
      </c>
      <c r="I152" s="61">
        <f t="shared" si="58"/>
        <v>0.21650086956521744</v>
      </c>
      <c r="J152" s="61">
        <f t="shared" si="58"/>
        <v>0.11185878260869568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0.22371756521739136</v>
      </c>
      <c r="V152" s="61">
        <f t="shared" si="58"/>
        <v>0.21650086956521744</v>
      </c>
      <c r="W152" s="61">
        <f t="shared" si="58"/>
        <v>0.21650086956521744</v>
      </c>
      <c r="X152" s="61">
        <f t="shared" si="58"/>
        <v>0.22371756521739136</v>
      </c>
      <c r="Y152" s="61">
        <f t="shared" si="58"/>
        <v>0.22371756521739136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97.279967475965137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5.3772581885217399</v>
      </c>
      <c r="H162" s="61">
        <f t="shared" si="65"/>
        <v>5.1768355617391331</v>
      </c>
      <c r="I162" s="61">
        <f t="shared" si="65"/>
        <v>5.1498728765217399</v>
      </c>
      <c r="J162" s="61">
        <f t="shared" si="65"/>
        <v>5.2658124229565226</v>
      </c>
      <c r="K162" s="61">
        <f t="shared" si="65"/>
        <v>4.459459745391305</v>
      </c>
      <c r="L162" s="61">
        <f t="shared" si="65"/>
        <v>4.3156062052173922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1.4449513124869573</v>
      </c>
      <c r="U162" s="61">
        <f t="shared" si="65"/>
        <v>2.8558665787826092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0.35025029565217397</v>
      </c>
      <c r="E164" s="61">
        <f t="shared" si="67"/>
        <v>0.35025029565217397</v>
      </c>
      <c r="F164" s="61">
        <f t="shared" si="67"/>
        <v>0.38777711304347828</v>
      </c>
      <c r="G164" s="61">
        <f t="shared" si="67"/>
        <v>0.38777711304347828</v>
      </c>
      <c r="H164" s="61">
        <f t="shared" si="67"/>
        <v>0.37526817391304346</v>
      </c>
      <c r="I164" s="61">
        <f t="shared" si="67"/>
        <v>0.37526817391304346</v>
      </c>
      <c r="J164" s="61">
        <f t="shared" si="67"/>
        <v>0.96944278260869587</v>
      </c>
      <c r="K164" s="61">
        <f t="shared" si="67"/>
        <v>0.96944278260869587</v>
      </c>
      <c r="L164" s="61">
        <f t="shared" si="67"/>
        <v>0.93817043478260886</v>
      </c>
      <c r="M164" s="61">
        <f t="shared" si="67"/>
        <v>0.93817043478260886</v>
      </c>
      <c r="N164" s="61">
        <f t="shared" si="67"/>
        <v>0.96944278260869587</v>
      </c>
      <c r="O164" s="61">
        <f t="shared" si="67"/>
        <v>0.96944278260869587</v>
      </c>
      <c r="P164" s="61">
        <f t="shared" si="67"/>
        <v>0.96944278260869587</v>
      </c>
      <c r="Q164" s="61">
        <f t="shared" si="67"/>
        <v>0.96944278260869587</v>
      </c>
      <c r="R164" s="61">
        <f t="shared" si="67"/>
        <v>0.93817043478260886</v>
      </c>
      <c r="S164" s="61">
        <f t="shared" si="67"/>
        <v>0.93817043478260886</v>
      </c>
      <c r="T164" s="61">
        <f t="shared" si="67"/>
        <v>0.31991611826086974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0.11185878260869568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0.35025029565217397</v>
      </c>
      <c r="E172" s="61">
        <f t="shared" si="75"/>
        <v>0.35025029565217397</v>
      </c>
      <c r="F172" s="61">
        <f t="shared" si="75"/>
        <v>0.38777711304347828</v>
      </c>
      <c r="G172" s="61">
        <f t="shared" si="75"/>
        <v>5.7650353015652183</v>
      </c>
      <c r="H172" s="61">
        <f t="shared" si="75"/>
        <v>5.5521037356521763</v>
      </c>
      <c r="I172" s="61">
        <f t="shared" si="75"/>
        <v>5.5251410504347831</v>
      </c>
      <c r="J172" s="61">
        <f t="shared" si="75"/>
        <v>6.3471139881739145</v>
      </c>
      <c r="K172" s="61">
        <f t="shared" si="75"/>
        <v>5.4289025280000009</v>
      </c>
      <c r="L172" s="61">
        <f t="shared" si="75"/>
        <v>5.2537766400000008</v>
      </c>
      <c r="M172" s="61">
        <f t="shared" si="75"/>
        <v>0.93817043478260886</v>
      </c>
      <c r="N172" s="61">
        <f t="shared" si="75"/>
        <v>0.96944278260869587</v>
      </c>
      <c r="O172" s="61">
        <f t="shared" si="75"/>
        <v>0.96944278260869587</v>
      </c>
      <c r="P172" s="61">
        <f t="shared" si="75"/>
        <v>0.96944278260869587</v>
      </c>
      <c r="Q172" s="61">
        <f t="shared" si="75"/>
        <v>0.96944278260869587</v>
      </c>
      <c r="R172" s="61">
        <f t="shared" si="75"/>
        <v>0.93817043478260886</v>
      </c>
      <c r="S172" s="61">
        <f t="shared" si="75"/>
        <v>0.93817043478260886</v>
      </c>
      <c r="T172" s="61">
        <f t="shared" si="75"/>
        <v>1.7648674307478269</v>
      </c>
      <c r="U172" s="61">
        <f t="shared" si="75"/>
        <v>2.8558665787826092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46.273367392486954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0.70843895652173916</v>
      </c>
      <c r="C176" s="61">
        <f t="shared" si="77"/>
        <v>0.70843895652173916</v>
      </c>
      <c r="D176" s="61">
        <f t="shared" si="77"/>
        <v>0.63988034782608705</v>
      </c>
      <c r="E176" s="61">
        <f t="shared" si="77"/>
        <v>0.63988034782608705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0.70843895652173916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0.22371756521739136</v>
      </c>
      <c r="C178" s="61">
        <f t="shared" si="79"/>
        <v>0.22371756521739136</v>
      </c>
      <c r="D178" s="61">
        <f t="shared" si="79"/>
        <v>0.20206747826086963</v>
      </c>
      <c r="E178" s="61">
        <f t="shared" si="79"/>
        <v>0.20206747826086963</v>
      </c>
      <c r="F178" s="61">
        <f t="shared" si="79"/>
        <v>0.22371756521739136</v>
      </c>
      <c r="G178" s="61">
        <f t="shared" si="79"/>
        <v>0.22371756521739136</v>
      </c>
      <c r="H178" s="61">
        <f t="shared" si="79"/>
        <v>0.21650086956521744</v>
      </c>
      <c r="I178" s="61">
        <f t="shared" si="79"/>
        <v>0.21650086956521744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0.22371756521739136</v>
      </c>
      <c r="V178" s="61">
        <f t="shared" si="79"/>
        <v>0.21650086956521744</v>
      </c>
      <c r="W178" s="61">
        <f t="shared" si="79"/>
        <v>0.21650086956521744</v>
      </c>
      <c r="X178" s="61">
        <f t="shared" si="79"/>
        <v>0.22371756521739136</v>
      </c>
      <c r="Y178" s="61">
        <f t="shared" si="79"/>
        <v>0.22371756521739136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0.93215652173913055</v>
      </c>
      <c r="C185" s="61">
        <f>SUM(CdTrp1!C175:C184)</f>
        <v>0.93215652173913055</v>
      </c>
      <c r="D185" s="61">
        <f>SUM(CdTrp1!D175:D184)</f>
        <v>0.84194782608695662</v>
      </c>
      <c r="E185" s="61">
        <f>SUM(CdTrp1!E175:E184)</f>
        <v>0.84194782608695662</v>
      </c>
      <c r="F185" s="61">
        <f>SUM(CdTrp1!F175:F184)</f>
        <v>0.22371756521739136</v>
      </c>
      <c r="G185" s="61">
        <f>SUM(CdTrp1!G175:G184)</f>
        <v>0.22371756521739136</v>
      </c>
      <c r="H185" s="61">
        <f>SUM(CdTrp1!H175:H184)</f>
        <v>0.21650086956521744</v>
      </c>
      <c r="I185" s="61">
        <f>SUM(CdTrp1!I175:I184)</f>
        <v>0.21650086956521744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0.22371756521739136</v>
      </c>
      <c r="V185" s="61">
        <f>SUM(CdTrp1!V175:V184)</f>
        <v>0.21650086956521744</v>
      </c>
      <c r="W185" s="61">
        <f>SUM(CdTrp1!W175:W184)</f>
        <v>0.21650086956521744</v>
      </c>
      <c r="X185" s="61">
        <f>SUM(CdTrp1!X175:X184)</f>
        <v>0.22371756521739136</v>
      </c>
      <c r="Y185" s="61">
        <f>SUM(CdTrp1!Y175:Y184)</f>
        <v>0.93215652173913055</v>
      </c>
      <c r="AA185" s="64">
        <f>SUM(B185:Y185)</f>
        <v>6.2412389565217392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0.70843895652173916</v>
      </c>
      <c r="G189" s="61">
        <f t="shared" si="87"/>
        <v>0.70843895652173916</v>
      </c>
      <c r="H189" s="61">
        <f t="shared" si="87"/>
        <v>0.6855860869565219</v>
      </c>
      <c r="I189" s="61">
        <f t="shared" si="87"/>
        <v>0.6855860869565219</v>
      </c>
      <c r="J189" s="61">
        <f t="shared" si="87"/>
        <v>0.70843895652173916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0.70843895652173916</v>
      </c>
      <c r="V189" s="61">
        <f t="shared" si="87"/>
        <v>0.6855860869565219</v>
      </c>
      <c r="W189" s="61">
        <f t="shared" si="87"/>
        <v>0.6855860869565219</v>
      </c>
      <c r="X189" s="61">
        <f t="shared" si="87"/>
        <v>0.70843895652173916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0.70843895652173916</v>
      </c>
      <c r="G198" s="61">
        <f t="shared" si="96"/>
        <v>0.70843895652173916</v>
      </c>
      <c r="H198" s="61">
        <f t="shared" si="96"/>
        <v>0.6855860869565219</v>
      </c>
      <c r="I198" s="61">
        <f t="shared" si="96"/>
        <v>0.6855860869565219</v>
      </c>
      <c r="J198" s="61">
        <f t="shared" si="96"/>
        <v>0.70843895652173916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0.70843895652173916</v>
      </c>
      <c r="V198" s="61">
        <f t="shared" si="96"/>
        <v>0.6855860869565219</v>
      </c>
      <c r="W198" s="61">
        <f t="shared" si="96"/>
        <v>0.6855860869565219</v>
      </c>
      <c r="X198" s="61">
        <f t="shared" si="96"/>
        <v>0.70843895652173916</v>
      </c>
      <c r="Y198" s="61">
        <f t="shared" si="96"/>
        <v>0</v>
      </c>
      <c r="AA198" s="64">
        <f>SUM(B198:Y198)</f>
        <v>6.2845391304347835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5.3945077565217394</v>
      </c>
      <c r="N201" s="61">
        <f t="shared" si="97"/>
        <v>5.5743246817391308</v>
      </c>
      <c r="O201" s="61">
        <f t="shared" si="97"/>
        <v>5.5743246817391308</v>
      </c>
      <c r="P201" s="61">
        <f t="shared" si="97"/>
        <v>5.5743246817391308</v>
      </c>
      <c r="Q201" s="61">
        <f t="shared" si="97"/>
        <v>5.5743246817391308</v>
      </c>
      <c r="R201" s="61">
        <f t="shared" si="97"/>
        <v>5.3945077565217394</v>
      </c>
      <c r="S201" s="61">
        <f t="shared" si="97"/>
        <v>5.3945077565217394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5.3945077565217394</v>
      </c>
      <c r="N211" s="61">
        <f t="shared" si="107"/>
        <v>5.5743246817391308</v>
      </c>
      <c r="O211" s="61">
        <f t="shared" si="107"/>
        <v>5.5743246817391308</v>
      </c>
      <c r="P211" s="61">
        <f t="shared" si="107"/>
        <v>5.5743246817391308</v>
      </c>
      <c r="Q211" s="61">
        <f t="shared" si="107"/>
        <v>5.5743246817391308</v>
      </c>
      <c r="R211" s="61">
        <f t="shared" si="107"/>
        <v>5.3945077565217394</v>
      </c>
      <c r="S211" s="61">
        <f t="shared" si="107"/>
        <v>5.3945077565217394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0.35025029565217397</v>
      </c>
      <c r="E215" s="61">
        <f t="shared" si="108"/>
        <v>0.35025029565217397</v>
      </c>
      <c r="F215" s="61">
        <f t="shared" si="108"/>
        <v>0.38777711304347828</v>
      </c>
      <c r="G215" s="61">
        <f t="shared" si="108"/>
        <v>5.7650353015652183</v>
      </c>
      <c r="H215" s="61">
        <f t="shared" si="108"/>
        <v>5.5521037356521763</v>
      </c>
      <c r="I215" s="61">
        <f t="shared" si="108"/>
        <v>5.5251410504347831</v>
      </c>
      <c r="J215" s="61">
        <f t="shared" si="108"/>
        <v>6.3471139881739145</v>
      </c>
      <c r="K215" s="61">
        <f t="shared" si="108"/>
        <v>5.4289025280000009</v>
      </c>
      <c r="L215" s="61">
        <f t="shared" si="108"/>
        <v>5.2537766400000008</v>
      </c>
      <c r="M215" s="61">
        <f t="shared" si="108"/>
        <v>0.93817043478260886</v>
      </c>
      <c r="N215" s="61">
        <f t="shared" si="108"/>
        <v>0.96944278260869587</v>
      </c>
      <c r="O215" s="61">
        <f t="shared" si="108"/>
        <v>0.96944278260869587</v>
      </c>
      <c r="P215" s="61">
        <f t="shared" si="108"/>
        <v>0.96944278260869587</v>
      </c>
      <c r="Q215" s="61">
        <f t="shared" si="108"/>
        <v>0.96944278260869587</v>
      </c>
      <c r="R215" s="61">
        <f t="shared" si="108"/>
        <v>0.93817043478260886</v>
      </c>
      <c r="S215" s="61">
        <f t="shared" si="108"/>
        <v>0.93817043478260886</v>
      </c>
      <c r="T215" s="61">
        <f t="shared" si="108"/>
        <v>1.7648674307478269</v>
      </c>
      <c r="U215" s="61">
        <f t="shared" si="108"/>
        <v>2.8558665787826092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0.93215652173913055</v>
      </c>
      <c r="C216" s="61">
        <f t="shared" ref="C216:Y216" si="109">C185</f>
        <v>0.93215652173913055</v>
      </c>
      <c r="D216" s="61">
        <f t="shared" si="109"/>
        <v>0.84194782608695662</v>
      </c>
      <c r="E216" s="61">
        <f t="shared" si="109"/>
        <v>0.84194782608695662</v>
      </c>
      <c r="F216" s="61">
        <f t="shared" si="109"/>
        <v>0.22371756521739136</v>
      </c>
      <c r="G216" s="61">
        <f t="shared" si="109"/>
        <v>0.22371756521739136</v>
      </c>
      <c r="H216" s="61">
        <f t="shared" si="109"/>
        <v>0.21650086956521744</v>
      </c>
      <c r="I216" s="61">
        <f t="shared" si="109"/>
        <v>0.21650086956521744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0.22371756521739136</v>
      </c>
      <c r="V216" s="61">
        <f t="shared" si="109"/>
        <v>0.21650086956521744</v>
      </c>
      <c r="W216" s="61">
        <f t="shared" si="109"/>
        <v>0.21650086956521744</v>
      </c>
      <c r="X216" s="61">
        <f t="shared" si="109"/>
        <v>0.22371756521739136</v>
      </c>
      <c r="Y216" s="61">
        <f t="shared" si="109"/>
        <v>0.93215652173913055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0.70843895652173916</v>
      </c>
      <c r="G217" s="61">
        <f t="shared" si="110"/>
        <v>0.70843895652173916</v>
      </c>
      <c r="H217" s="61">
        <f t="shared" si="110"/>
        <v>0.6855860869565219</v>
      </c>
      <c r="I217" s="61">
        <f t="shared" si="110"/>
        <v>0.6855860869565219</v>
      </c>
      <c r="J217" s="61">
        <f t="shared" si="110"/>
        <v>0.70843895652173916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0.70843895652173916</v>
      </c>
      <c r="V217" s="61">
        <f t="shared" si="110"/>
        <v>0.6855860869565219</v>
      </c>
      <c r="W217" s="61">
        <f t="shared" si="110"/>
        <v>0.6855860869565219</v>
      </c>
      <c r="X217" s="61">
        <f t="shared" si="110"/>
        <v>0.70843895652173916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5.3945077565217394</v>
      </c>
      <c r="N218" s="61">
        <f t="shared" si="111"/>
        <v>5.5743246817391308</v>
      </c>
      <c r="O218" s="61">
        <f t="shared" si="111"/>
        <v>5.5743246817391308</v>
      </c>
      <c r="P218" s="61">
        <f t="shared" si="111"/>
        <v>5.5743246817391308</v>
      </c>
      <c r="Q218" s="61">
        <f t="shared" si="111"/>
        <v>5.5743246817391308</v>
      </c>
      <c r="R218" s="61">
        <f t="shared" si="111"/>
        <v>5.3945077565217394</v>
      </c>
      <c r="S218" s="61">
        <f t="shared" si="111"/>
        <v>5.3945077565217394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97.279967475965179</v>
      </c>
      <c r="AB219" t="s">
        <v>222</v>
      </c>
    </row>
    <row r="220" spans="1:28" x14ac:dyDescent="0.25">
      <c r="AA220" s="30">
        <f>SUM(B215:Y217)</f>
        <v>58.799145479443467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9" activePane="bottomLeft" state="frozen"/>
      <selection pane="bottomLeft" activeCell="H80" sqref="H8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5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12.453333333333333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5454.9000000000005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5.5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2325.6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2.2999999999999998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13.920159999999999</v>
      </c>
      <c r="C39" s="61">
        <f t="shared" ref="C39:Y48" si="13">C15*C27</f>
        <v>13.862399999999999</v>
      </c>
      <c r="D39" s="61">
        <f t="shared" si="13"/>
        <v>13.862399999999999</v>
      </c>
      <c r="E39" s="61">
        <f t="shared" si="13"/>
        <v>13.862399999999999</v>
      </c>
      <c r="F39" s="61">
        <f t="shared" si="13"/>
        <v>13.862399999999999</v>
      </c>
      <c r="G39" s="61">
        <f t="shared" si="13"/>
        <v>13.05376</v>
      </c>
      <c r="H39" s="61">
        <f t="shared" si="13"/>
        <v>12.793839999999999</v>
      </c>
      <c r="I39" s="61">
        <f t="shared" si="13"/>
        <v>12.53392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11.95632</v>
      </c>
      <c r="U39" s="61">
        <f t="shared" si="13"/>
        <v>12.284640000000001</v>
      </c>
      <c r="V39" s="61">
        <f t="shared" si="13"/>
        <v>13.313679999999998</v>
      </c>
      <c r="W39" s="61">
        <f t="shared" si="13"/>
        <v>13.573599999999999</v>
      </c>
      <c r="X39" s="61">
        <f t="shared" si="13"/>
        <v>13.833519999999998</v>
      </c>
      <c r="Y39" s="61">
        <f t="shared" si="13"/>
        <v>14.093439999999999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20.30416</v>
      </c>
      <c r="C49" s="62">
        <f t="shared" ref="C49:Y49" si="15">SUM(C39:C48)</f>
        <v>20.246399999999998</v>
      </c>
      <c r="D49" s="62">
        <f t="shared" si="15"/>
        <v>20.246399999999998</v>
      </c>
      <c r="E49" s="62">
        <f t="shared" si="15"/>
        <v>20.246399999999998</v>
      </c>
      <c r="F49" s="62">
        <f t="shared" si="15"/>
        <v>20.246399999999998</v>
      </c>
      <c r="G49" s="62">
        <f t="shared" si="15"/>
        <v>19.969760000000001</v>
      </c>
      <c r="H49" s="62">
        <f t="shared" si="15"/>
        <v>20.24184</v>
      </c>
      <c r="I49" s="62">
        <f t="shared" si="15"/>
        <v>20.513919999999999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19.67032</v>
      </c>
      <c r="U49" s="62">
        <f t="shared" si="15"/>
        <v>19.998640000000002</v>
      </c>
      <c r="V49" s="62">
        <f t="shared" si="15"/>
        <v>20.229679999999998</v>
      </c>
      <c r="W49" s="62">
        <f t="shared" si="15"/>
        <v>20.223599999999998</v>
      </c>
      <c r="X49" s="62">
        <f t="shared" si="15"/>
        <v>20.217519999999997</v>
      </c>
      <c r="Y49" s="62">
        <f t="shared" si="15"/>
        <v>20.477439999999998</v>
      </c>
      <c r="Z49" s="23"/>
      <c r="AA49" s="46">
        <f>AVERAGE(B49:Y49)</f>
        <v>20.170019999999997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3</v>
      </c>
      <c r="C53" s="60">
        <v>3</v>
      </c>
      <c r="D53" s="60">
        <v>3</v>
      </c>
      <c r="E53" s="60">
        <v>3</v>
      </c>
      <c r="F53" s="60">
        <v>3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3</v>
      </c>
      <c r="Y53" s="60">
        <v>3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5.5</v>
      </c>
      <c r="AZ54" s="84">
        <f t="shared" si="17"/>
        <v>2.2999999999999998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14.2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215.76247999999998</v>
      </c>
      <c r="C63" s="61">
        <f t="shared" si="18"/>
        <v>214.8672</v>
      </c>
      <c r="D63" s="61">
        <f t="shared" si="18"/>
        <v>194.0736</v>
      </c>
      <c r="E63" s="61">
        <f t="shared" si="18"/>
        <v>194.0736</v>
      </c>
      <c r="F63" s="61">
        <f t="shared" si="18"/>
        <v>214.8672</v>
      </c>
      <c r="G63" s="61">
        <f t="shared" si="18"/>
        <v>202.33328</v>
      </c>
      <c r="H63" s="61">
        <f t="shared" si="18"/>
        <v>95.953800000000001</v>
      </c>
      <c r="I63" s="61">
        <f t="shared" si="18"/>
        <v>94.004400000000004</v>
      </c>
      <c r="J63" s="61">
        <f t="shared" si="18"/>
        <v>95.123499999999993</v>
      </c>
      <c r="K63" s="61">
        <f t="shared" si="18"/>
        <v>95.123499999999993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92.661479999999997</v>
      </c>
      <c r="U63" s="61">
        <f t="shared" si="18"/>
        <v>95.205960000000005</v>
      </c>
      <c r="V63" s="61">
        <f t="shared" si="18"/>
        <v>99.852599999999981</v>
      </c>
      <c r="W63" s="61">
        <f t="shared" si="18"/>
        <v>101.80199999999999</v>
      </c>
      <c r="X63" s="61">
        <f t="shared" si="18"/>
        <v>214.41955999999996</v>
      </c>
      <c r="Y63" s="61">
        <f t="shared" si="18"/>
        <v>218.44832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3.9899999999999993</v>
      </c>
      <c r="W64" s="61">
        <f t="shared" si="18"/>
        <v>1.9949999999999997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315</v>
      </c>
      <c r="C73" s="64">
        <f t="shared" ref="C73:Y73" si="19">ROUND(SUM(C63:C72),0)</f>
        <v>314</v>
      </c>
      <c r="D73" s="64">
        <f t="shared" si="19"/>
        <v>194</v>
      </c>
      <c r="E73" s="64">
        <f t="shared" si="19"/>
        <v>194</v>
      </c>
      <c r="F73" s="64">
        <f t="shared" si="19"/>
        <v>215</v>
      </c>
      <c r="G73" s="64">
        <f t="shared" si="19"/>
        <v>202</v>
      </c>
      <c r="H73" s="64">
        <f t="shared" si="19"/>
        <v>96</v>
      </c>
      <c r="I73" s="64">
        <f t="shared" si="19"/>
        <v>94</v>
      </c>
      <c r="J73" s="64">
        <f t="shared" si="19"/>
        <v>95</v>
      </c>
      <c r="K73" s="64">
        <f t="shared" si="19"/>
        <v>95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93</v>
      </c>
      <c r="U73" s="64">
        <f t="shared" si="19"/>
        <v>95</v>
      </c>
      <c r="V73" s="64">
        <f t="shared" si="19"/>
        <v>104</v>
      </c>
      <c r="W73" s="64">
        <f t="shared" si="19"/>
        <v>104</v>
      </c>
      <c r="X73" s="64">
        <f t="shared" si="19"/>
        <v>313</v>
      </c>
      <c r="Y73" s="64">
        <f t="shared" si="19"/>
        <v>317</v>
      </c>
      <c r="Z73" s="52"/>
      <c r="AA73" s="56">
        <f>ROUND(SUM(B73:Y73),0)</f>
        <v>2840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3</v>
      </c>
      <c r="U76" s="60">
        <v>3</v>
      </c>
      <c r="V76" s="60">
        <v>2</v>
      </c>
      <c r="W76" s="60">
        <v>2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26.5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10.5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11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12.453333333333333</v>
      </c>
      <c r="C99" s="61">
        <f t="shared" ref="C99:Y99" si="21">VLOOKUP(C88,$AD$6:$AF$10,3)</f>
        <v>12.453333333333333</v>
      </c>
      <c r="D99" s="61">
        <f t="shared" si="21"/>
        <v>12.453333333333333</v>
      </c>
      <c r="E99" s="61">
        <f t="shared" si="21"/>
        <v>12.453333333333333</v>
      </c>
      <c r="F99" s="61">
        <f t="shared" si="21"/>
        <v>12.453333333333333</v>
      </c>
      <c r="G99" s="61">
        <f t="shared" si="21"/>
        <v>12.453333333333333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12.453333333333333</v>
      </c>
      <c r="Y99" s="61">
        <f t="shared" si="21"/>
        <v>12.453333333333333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12.453333333333333</v>
      </c>
      <c r="C100" s="61">
        <f t="shared" si="22"/>
        <v>12.453333333333333</v>
      </c>
      <c r="D100" s="61">
        <f t="shared" si="22"/>
        <v>12.453333333333333</v>
      </c>
      <c r="E100" s="61">
        <f t="shared" si="22"/>
        <v>12.453333333333333</v>
      </c>
      <c r="F100" s="61">
        <f t="shared" si="22"/>
        <v>12.453333333333333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12.453333333333333</v>
      </c>
      <c r="Y100" s="61">
        <f t="shared" si="22"/>
        <v>12.453333333333333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12.453333333333333</v>
      </c>
      <c r="C101" s="61">
        <f t="shared" si="23"/>
        <v>12.453333333333333</v>
      </c>
      <c r="D101" s="61">
        <f t="shared" si="23"/>
        <v>12.453333333333333</v>
      </c>
      <c r="E101" s="61">
        <f t="shared" si="23"/>
        <v>12.453333333333333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12.453333333333333</v>
      </c>
      <c r="Y101" s="61">
        <f t="shared" si="23"/>
        <v>12.453333333333333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2.6869620842666664</v>
      </c>
      <c r="C110" s="61">
        <f t="shared" si="31"/>
        <v>2.6758128640000001</v>
      </c>
      <c r="D110" s="61">
        <f t="shared" si="31"/>
        <v>2.4168632320000003</v>
      </c>
      <c r="E110" s="61">
        <f t="shared" si="31"/>
        <v>2.4168632320000003</v>
      </c>
      <c r="F110" s="61">
        <f t="shared" si="31"/>
        <v>2.6758128640000001</v>
      </c>
      <c r="G110" s="61">
        <f t="shared" si="31"/>
        <v>2.5197237802666668</v>
      </c>
      <c r="H110" s="61">
        <f t="shared" si="31"/>
        <v>2.3508681</v>
      </c>
      <c r="I110" s="61">
        <f t="shared" si="31"/>
        <v>2.3031078000000003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2.5945214399999998</v>
      </c>
      <c r="U110" s="61">
        <f t="shared" si="31"/>
        <v>2.6657668800000001</v>
      </c>
      <c r="V110" s="61">
        <f t="shared" si="31"/>
        <v>2.7958727999999997</v>
      </c>
      <c r="W110" s="61">
        <f t="shared" si="31"/>
        <v>2.8504559999999999</v>
      </c>
      <c r="X110" s="61">
        <f t="shared" si="31"/>
        <v>2.6702382538666662</v>
      </c>
      <c r="Y110" s="61">
        <f t="shared" si="31"/>
        <v>2.7204097450666662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1.23228224</v>
      </c>
      <c r="C112" s="61">
        <f t="shared" si="31"/>
        <v>1.23228224</v>
      </c>
      <c r="D112" s="61">
        <f t="shared" si="31"/>
        <v>1.11302912</v>
      </c>
      <c r="E112" s="61">
        <f t="shared" si="31"/>
        <v>1.11302912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1.23228224</v>
      </c>
      <c r="Y112" s="61">
        <f t="shared" si="31"/>
        <v>1.23228224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</v>
      </c>
      <c r="C120" s="61">
        <f t="shared" ref="C120:Y120" si="32">SUM(C110:C119)</f>
        <v>3.908095104</v>
      </c>
      <c r="D120" s="61">
        <f t="shared" si="32"/>
        <v>3.5298923520000001</v>
      </c>
      <c r="E120" s="61">
        <f t="shared" si="32"/>
        <v>3.5298923520000001</v>
      </c>
      <c r="F120" s="61">
        <f t="shared" si="32"/>
        <v>3.9621888639999998</v>
      </c>
      <c r="G120" s="61">
        <f t="shared" si="32"/>
        <v>3.9132977802666664</v>
      </c>
      <c r="H120" s="61">
        <f t="shared" si="32"/>
        <v>3.8032281000000001</v>
      </c>
      <c r="I120" s="61">
        <f t="shared" si="32"/>
        <v>3.8592078000000001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4.14889244</v>
      </c>
      <c r="U120" s="61">
        <f t="shared" si="32"/>
        <v>4.2201378800000002</v>
      </c>
      <c r="V120" s="61">
        <f t="shared" si="32"/>
        <v>4.1444928000000001</v>
      </c>
      <c r="W120" s="61">
        <f t="shared" si="32"/>
        <v>4.1472059999999997</v>
      </c>
      <c r="X120" s="61">
        <f t="shared" si="32"/>
        <v>3.9025204938666662</v>
      </c>
      <c r="Y120" s="61">
        <f t="shared" si="32"/>
        <v>3.9526919850666662</v>
      </c>
      <c r="AA120" s="57">
        <f>SUM(B120:Y120)</f>
        <v>93.225053451199983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2.6869620842666664</v>
      </c>
      <c r="C136" s="61">
        <f t="shared" ref="C136:Y136" si="33">C110*(1-C123)</f>
        <v>2.6758128640000001</v>
      </c>
      <c r="D136" s="61">
        <f t="shared" si="33"/>
        <v>2.4168632320000003</v>
      </c>
      <c r="E136" s="61">
        <f t="shared" si="33"/>
        <v>2.4168632320000003</v>
      </c>
      <c r="F136" s="61">
        <f t="shared" si="33"/>
        <v>2.6758128640000001</v>
      </c>
      <c r="G136" s="61">
        <f t="shared" si="33"/>
        <v>2.5197237802666668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1.2972607199999999</v>
      </c>
      <c r="U136" s="61">
        <f t="shared" si="33"/>
        <v>1.33288344</v>
      </c>
      <c r="V136" s="61">
        <f t="shared" si="33"/>
        <v>1.3979363999999999</v>
      </c>
      <c r="W136" s="61">
        <f t="shared" si="33"/>
        <v>1.4252279999999999</v>
      </c>
      <c r="X136" s="61">
        <f t="shared" si="33"/>
        <v>2.6702382538666662</v>
      </c>
      <c r="Y136" s="61">
        <f t="shared" si="33"/>
        <v>2.7204097450666662</v>
      </c>
      <c r="AA136" s="61">
        <f>SUM(B136:Y136)</f>
        <v>26.235994615466666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5.3598999999999987E-2</v>
      </c>
      <c r="H137" s="61">
        <f t="shared" si="34"/>
        <v>0.10373999999999999</v>
      </c>
      <c r="I137" s="61">
        <f t="shared" si="34"/>
        <v>0.15561</v>
      </c>
      <c r="J137" s="61">
        <f t="shared" si="34"/>
        <v>0.160797</v>
      </c>
      <c r="K137" s="61">
        <f t="shared" si="34"/>
        <v>0.160797</v>
      </c>
      <c r="L137" s="61">
        <f t="shared" si="34"/>
        <v>0.15561</v>
      </c>
      <c r="M137" s="61">
        <f t="shared" si="34"/>
        <v>0.15561</v>
      </c>
      <c r="N137" s="61">
        <f t="shared" si="34"/>
        <v>0.160797</v>
      </c>
      <c r="O137" s="61">
        <f t="shared" si="34"/>
        <v>0.160797</v>
      </c>
      <c r="P137" s="61">
        <f t="shared" si="34"/>
        <v>0.160797</v>
      </c>
      <c r="Q137" s="61">
        <f t="shared" si="34"/>
        <v>0.160797</v>
      </c>
      <c r="R137" s="61">
        <f t="shared" si="34"/>
        <v>0.15561</v>
      </c>
      <c r="S137" s="61">
        <f t="shared" si="34"/>
        <v>0.15561</v>
      </c>
      <c r="T137" s="61">
        <f t="shared" si="34"/>
        <v>0.13399749999999999</v>
      </c>
      <c r="U137" s="61">
        <f t="shared" si="34"/>
        <v>0.13399749999999999</v>
      </c>
      <c r="V137" s="61">
        <f t="shared" si="34"/>
        <v>5.1869999999999993E-2</v>
      </c>
      <c r="W137" s="61">
        <f t="shared" si="34"/>
        <v>2.5934999999999996E-2</v>
      </c>
      <c r="X137" s="61">
        <f t="shared" si="34"/>
        <v>0</v>
      </c>
      <c r="Y137" s="61">
        <f t="shared" si="34"/>
        <v>0</v>
      </c>
      <c r="AA137" s="61">
        <f>SUM(B137:Y137)</f>
        <v>2.2459710000000004</v>
      </c>
    </row>
    <row r="138" spans="1:31" x14ac:dyDescent="0.25">
      <c r="A138" s="128" t="str">
        <f>A$17</f>
        <v>genisses +1an</v>
      </c>
      <c r="B138" s="61">
        <f t="shared" si="34"/>
        <v>1.23228224</v>
      </c>
      <c r="C138" s="61">
        <f t="shared" si="34"/>
        <v>1.23228224</v>
      </c>
      <c r="D138" s="61">
        <f t="shared" si="34"/>
        <v>1.11302912</v>
      </c>
      <c r="E138" s="61">
        <f t="shared" si="34"/>
        <v>1.11302912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1.23228224</v>
      </c>
      <c r="Y138" s="61">
        <f t="shared" si="34"/>
        <v>1.23228224</v>
      </c>
      <c r="AA138" s="61">
        <f t="shared" ref="AA138:AA144" si="35">SUM(B138:Y138)</f>
        <v>7.1551872000000003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35.637152815466663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37.419010456239995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2.3508681</v>
      </c>
      <c r="I149" s="61">
        <f t="shared" si="37"/>
        <v>2.3031078000000003</v>
      </c>
      <c r="J149" s="61">
        <f t="shared" si="37"/>
        <v>2.3305257499999996</v>
      </c>
      <c r="K149" s="61">
        <f t="shared" si="37"/>
        <v>2.3305257499999996</v>
      </c>
      <c r="L149" s="61">
        <f t="shared" si="37"/>
        <v>2.2553475000000001</v>
      </c>
      <c r="M149" s="61">
        <f t="shared" si="37"/>
        <v>2.2553475000000001</v>
      </c>
      <c r="N149" s="61">
        <f t="shared" si="37"/>
        <v>2.3305257499999996</v>
      </c>
      <c r="O149" s="61">
        <f t="shared" si="37"/>
        <v>2.3305257499999996</v>
      </c>
      <c r="P149" s="61">
        <f t="shared" si="37"/>
        <v>2.3305257499999996</v>
      </c>
      <c r="Q149" s="61">
        <f t="shared" si="37"/>
        <v>2.3305257499999996</v>
      </c>
      <c r="R149" s="61">
        <f t="shared" si="37"/>
        <v>1.9186200000000002</v>
      </c>
      <c r="S149" s="61">
        <f t="shared" si="37"/>
        <v>1.9186200000000002</v>
      </c>
      <c r="T149" s="61">
        <f t="shared" si="37"/>
        <v>1.2972607199999999</v>
      </c>
      <c r="U149" s="61">
        <f t="shared" si="37"/>
        <v>1.33288344</v>
      </c>
      <c r="V149" s="61">
        <f t="shared" si="37"/>
        <v>1.3979363999999999</v>
      </c>
      <c r="W149" s="61">
        <f t="shared" si="37"/>
        <v>1.4252279999999999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5.3598999999999987E-2</v>
      </c>
      <c r="H150" s="61">
        <f t="shared" si="38"/>
        <v>0.10373999999999999</v>
      </c>
      <c r="I150" s="61">
        <f t="shared" si="38"/>
        <v>0.15561</v>
      </c>
      <c r="J150" s="61">
        <f t="shared" si="38"/>
        <v>0.160797</v>
      </c>
      <c r="K150" s="61">
        <f t="shared" si="38"/>
        <v>0.160797</v>
      </c>
      <c r="L150" s="61">
        <f t="shared" si="38"/>
        <v>0.15561</v>
      </c>
      <c r="M150" s="61">
        <f t="shared" si="38"/>
        <v>0.15561</v>
      </c>
      <c r="N150" s="61">
        <f t="shared" si="38"/>
        <v>0.160797</v>
      </c>
      <c r="O150" s="61">
        <f t="shared" si="38"/>
        <v>0.160797</v>
      </c>
      <c r="P150" s="61">
        <f t="shared" si="38"/>
        <v>0.160797</v>
      </c>
      <c r="Q150" s="61">
        <f t="shared" si="38"/>
        <v>0.160797</v>
      </c>
      <c r="R150" s="61">
        <f t="shared" si="38"/>
        <v>0.15561</v>
      </c>
      <c r="S150" s="61">
        <f t="shared" si="38"/>
        <v>0.15561</v>
      </c>
      <c r="T150" s="61">
        <f t="shared" si="38"/>
        <v>0.13399749999999999</v>
      </c>
      <c r="U150" s="61">
        <f t="shared" si="38"/>
        <v>0.13399749999999999</v>
      </c>
      <c r="V150" s="61">
        <f t="shared" si="38"/>
        <v>5.1869999999999993E-2</v>
      </c>
      <c r="W150" s="61">
        <f t="shared" si="38"/>
        <v>2.5934999999999996E-2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1.286376</v>
      </c>
      <c r="G151" s="61">
        <f t="shared" si="39"/>
        <v>1.286376</v>
      </c>
      <c r="H151" s="61">
        <f t="shared" si="39"/>
        <v>1.24488</v>
      </c>
      <c r="I151" s="61">
        <f t="shared" si="39"/>
        <v>1.24488</v>
      </c>
      <c r="J151" s="61">
        <f t="shared" si="39"/>
        <v>1.286376</v>
      </c>
      <c r="K151" s="61">
        <f t="shared" si="39"/>
        <v>1.286376</v>
      </c>
      <c r="L151" s="61">
        <f t="shared" si="39"/>
        <v>1.24488</v>
      </c>
      <c r="M151" s="61">
        <f t="shared" si="39"/>
        <v>1.24488</v>
      </c>
      <c r="N151" s="61">
        <f t="shared" si="39"/>
        <v>1.286376</v>
      </c>
      <c r="O151" s="61">
        <f t="shared" si="39"/>
        <v>1.286376</v>
      </c>
      <c r="P151" s="61">
        <f t="shared" si="39"/>
        <v>1.286376</v>
      </c>
      <c r="Q151" s="61">
        <f t="shared" si="39"/>
        <v>1.286376</v>
      </c>
      <c r="R151" s="61">
        <f t="shared" si="39"/>
        <v>1.24488</v>
      </c>
      <c r="S151" s="61">
        <f t="shared" si="39"/>
        <v>1.24488</v>
      </c>
      <c r="T151" s="61">
        <f t="shared" si="39"/>
        <v>1.286376</v>
      </c>
      <c r="U151" s="61">
        <f t="shared" si="39"/>
        <v>1.286376</v>
      </c>
      <c r="V151" s="61">
        <f t="shared" si="39"/>
        <v>1.24488</v>
      </c>
      <c r="W151" s="61">
        <f t="shared" si="39"/>
        <v>1.24488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57.507144960000012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2.3508681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5.3598999999999987E-2</v>
      </c>
      <c r="H163" s="61">
        <f t="shared" si="48"/>
        <v>0.10373999999999999</v>
      </c>
      <c r="I163" s="61">
        <f t="shared" si="48"/>
        <v>0.15561</v>
      </c>
      <c r="J163" s="61">
        <f t="shared" si="48"/>
        <v>0.160797</v>
      </c>
      <c r="K163" s="61">
        <f t="shared" si="48"/>
        <v>0.160797</v>
      </c>
      <c r="L163" s="61">
        <f t="shared" si="48"/>
        <v>0.15561</v>
      </c>
      <c r="M163" s="61">
        <f t="shared" si="48"/>
        <v>0.15561</v>
      </c>
      <c r="N163" s="61">
        <f t="shared" si="48"/>
        <v>0.160797</v>
      </c>
      <c r="O163" s="61">
        <f t="shared" si="48"/>
        <v>0.160797</v>
      </c>
      <c r="P163" s="61">
        <f t="shared" si="48"/>
        <v>0.160797</v>
      </c>
      <c r="Q163" s="61">
        <f t="shared" si="48"/>
        <v>0.160797</v>
      </c>
      <c r="R163" s="61">
        <f t="shared" si="48"/>
        <v>0.15561</v>
      </c>
      <c r="S163" s="61">
        <f t="shared" si="48"/>
        <v>0.15561</v>
      </c>
      <c r="T163" s="61">
        <f t="shared" si="48"/>
        <v>0.13399749999999999</v>
      </c>
      <c r="U163" s="61">
        <f t="shared" si="48"/>
        <v>0.13399749999999999</v>
      </c>
      <c r="V163" s="61">
        <f t="shared" si="48"/>
        <v>5.1869999999999993E-2</v>
      </c>
      <c r="W163" s="61">
        <f t="shared" si="48"/>
        <v>2.5934999999999996E-2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1.286376</v>
      </c>
      <c r="V164" s="61">
        <f t="shared" si="49"/>
        <v>1.24488</v>
      </c>
      <c r="W164" s="61">
        <f t="shared" si="49"/>
        <v>1.24488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5.3598999999999987E-2</v>
      </c>
      <c r="H172" s="61">
        <f t="shared" si="57"/>
        <v>2.4546081000000002</v>
      </c>
      <c r="I172" s="61">
        <f t="shared" si="57"/>
        <v>0.15561</v>
      </c>
      <c r="J172" s="61">
        <f t="shared" si="57"/>
        <v>0.160797</v>
      </c>
      <c r="K172" s="61">
        <f t="shared" si="57"/>
        <v>0.160797</v>
      </c>
      <c r="L172" s="61">
        <f t="shared" si="57"/>
        <v>0.15561</v>
      </c>
      <c r="M172" s="61">
        <f t="shared" si="57"/>
        <v>0.15561</v>
      </c>
      <c r="N172" s="61">
        <f t="shared" si="57"/>
        <v>0.160797</v>
      </c>
      <c r="O172" s="61">
        <f t="shared" si="57"/>
        <v>0.160797</v>
      </c>
      <c r="P172" s="61">
        <f t="shared" si="57"/>
        <v>0.160797</v>
      </c>
      <c r="Q172" s="61">
        <f t="shared" si="57"/>
        <v>0.160797</v>
      </c>
      <c r="R172" s="61">
        <f t="shared" si="57"/>
        <v>0.15561</v>
      </c>
      <c r="S172" s="61">
        <f t="shared" si="57"/>
        <v>0.15561</v>
      </c>
      <c r="T172" s="61">
        <f t="shared" si="57"/>
        <v>0.13399749999999999</v>
      </c>
      <c r="U172" s="61">
        <f t="shared" si="57"/>
        <v>1.4203735</v>
      </c>
      <c r="V172" s="61">
        <f t="shared" si="57"/>
        <v>1.2967500000000001</v>
      </c>
      <c r="W172" s="61">
        <f t="shared" si="57"/>
        <v>1.270815</v>
      </c>
      <c r="X172" s="61">
        <f t="shared" si="57"/>
        <v>0</v>
      </c>
      <c r="Y172" s="61">
        <f t="shared" si="57"/>
        <v>0</v>
      </c>
      <c r="AA172" s="64">
        <f>SUM(B172:Y172)</f>
        <v>8.3729751000000014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2.3031078000000003</v>
      </c>
      <c r="J175" s="61">
        <f t="shared" si="58"/>
        <v>2.3305257499999996</v>
      </c>
      <c r="K175" s="61">
        <f t="shared" si="58"/>
        <v>2.3305257499999996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1.3979363999999999</v>
      </c>
      <c r="W175" s="61">
        <f t="shared" si="58"/>
        <v>1.4252279999999999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1.286376</v>
      </c>
      <c r="G177" s="61">
        <f t="shared" si="60"/>
        <v>1.286376</v>
      </c>
      <c r="H177" s="61">
        <f t="shared" si="60"/>
        <v>1.24488</v>
      </c>
      <c r="I177" s="61">
        <f t="shared" si="60"/>
        <v>1.24488</v>
      </c>
      <c r="J177" s="61">
        <f t="shared" si="60"/>
        <v>1.286376</v>
      </c>
      <c r="K177" s="61">
        <f t="shared" si="60"/>
        <v>1.286376</v>
      </c>
      <c r="L177" s="61">
        <f t="shared" si="60"/>
        <v>1.24488</v>
      </c>
      <c r="M177" s="61">
        <f t="shared" si="60"/>
        <v>1.24488</v>
      </c>
      <c r="N177" s="61">
        <f t="shared" si="60"/>
        <v>1.286376</v>
      </c>
      <c r="O177" s="61">
        <f t="shared" si="60"/>
        <v>1.286376</v>
      </c>
      <c r="P177" s="61">
        <f t="shared" si="60"/>
        <v>1.286376</v>
      </c>
      <c r="Q177" s="61">
        <f t="shared" si="60"/>
        <v>1.286376</v>
      </c>
      <c r="R177" s="61">
        <f t="shared" si="60"/>
        <v>1.24488</v>
      </c>
      <c r="S177" s="61">
        <f t="shared" si="60"/>
        <v>1.24488</v>
      </c>
      <c r="T177" s="61">
        <f t="shared" si="60"/>
        <v>1.286376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1.286376</v>
      </c>
      <c r="G185" s="61">
        <f>SUM(CdTrp2!G175:G184)</f>
        <v>1.286376</v>
      </c>
      <c r="H185" s="61">
        <f>SUM(CdTrp2!H175:H184)</f>
        <v>1.24488</v>
      </c>
      <c r="I185" s="61">
        <f>SUM(CdTrp2!I175:I184)</f>
        <v>3.5479878000000005</v>
      </c>
      <c r="J185" s="61">
        <f>SUM(CdTrp2!J175:J184)</f>
        <v>3.6169017499999994</v>
      </c>
      <c r="K185" s="61">
        <f>SUM(CdTrp2!K175:K184)</f>
        <v>3.6169017499999994</v>
      </c>
      <c r="L185" s="61">
        <f>SUM(CdTrp2!L175:L184)</f>
        <v>1.24488</v>
      </c>
      <c r="M185" s="61">
        <f>SUM(CdTrp2!M175:M184)</f>
        <v>1.24488</v>
      </c>
      <c r="N185" s="61">
        <f>SUM(CdTrp2!N175:N184)</f>
        <v>1.286376</v>
      </c>
      <c r="O185" s="61">
        <f>SUM(CdTrp2!O175:O184)</f>
        <v>1.286376</v>
      </c>
      <c r="P185" s="61">
        <f>SUM(CdTrp2!P175:P184)</f>
        <v>1.286376</v>
      </c>
      <c r="Q185" s="61">
        <f>SUM(CdTrp2!Q175:Q184)</f>
        <v>1.286376</v>
      </c>
      <c r="R185" s="61">
        <f>SUM(CdTrp2!R175:R184)</f>
        <v>1.24488</v>
      </c>
      <c r="S185" s="61">
        <f>SUM(CdTrp2!S175:S184)</f>
        <v>1.24488</v>
      </c>
      <c r="T185" s="61">
        <f>SUM(CdTrp2!T175:T184)</f>
        <v>1.286376</v>
      </c>
      <c r="U185" s="61">
        <f>SUM(CdTrp2!U175:U184)</f>
        <v>0</v>
      </c>
      <c r="V185" s="61">
        <f>SUM(CdTrp2!V175:V184)</f>
        <v>1.3979363999999999</v>
      </c>
      <c r="W185" s="61">
        <f>SUM(CdTrp2!W175:W184)</f>
        <v>1.4252279999999999</v>
      </c>
      <c r="X185" s="61">
        <f>SUM(CdTrp2!X175:X184)</f>
        <v>0</v>
      </c>
      <c r="Y185" s="61">
        <f>SUM(CdTrp2!Y175:Y184)</f>
        <v>0</v>
      </c>
      <c r="AA185" s="64">
        <f>SUM(B185:Y185)</f>
        <v>28.833987699999998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1.2972607199999999</v>
      </c>
      <c r="U188" s="61">
        <f t="shared" si="68"/>
        <v>1.33288344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1.2972607199999999</v>
      </c>
      <c r="U198" s="61">
        <f t="shared" si="78"/>
        <v>1.33288344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2.63014416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5.3598999999999987E-2</v>
      </c>
      <c r="H215" s="61">
        <f t="shared" si="90"/>
        <v>2.4546081000000002</v>
      </c>
      <c r="I215" s="61">
        <f t="shared" si="90"/>
        <v>0.15561</v>
      </c>
      <c r="J215" s="61">
        <f t="shared" si="90"/>
        <v>0.160797</v>
      </c>
      <c r="K215" s="61">
        <f t="shared" si="90"/>
        <v>0.160797</v>
      </c>
      <c r="L215" s="61">
        <f t="shared" si="90"/>
        <v>0.15561</v>
      </c>
      <c r="M215" s="61">
        <f t="shared" si="90"/>
        <v>0.15561</v>
      </c>
      <c r="N215" s="61">
        <f t="shared" si="90"/>
        <v>0.160797</v>
      </c>
      <c r="O215" s="61">
        <f t="shared" si="90"/>
        <v>0.160797</v>
      </c>
      <c r="P215" s="61">
        <f t="shared" si="90"/>
        <v>0.160797</v>
      </c>
      <c r="Q215" s="61">
        <f t="shared" si="90"/>
        <v>0.160797</v>
      </c>
      <c r="R215" s="61">
        <f t="shared" si="90"/>
        <v>0.15561</v>
      </c>
      <c r="S215" s="61">
        <f t="shared" si="90"/>
        <v>0.15561</v>
      </c>
      <c r="T215" s="61">
        <f t="shared" si="90"/>
        <v>0.13399749999999999</v>
      </c>
      <c r="U215" s="61">
        <f t="shared" si="90"/>
        <v>1.4203735</v>
      </c>
      <c r="V215" s="61">
        <f t="shared" si="90"/>
        <v>1.2967500000000001</v>
      </c>
      <c r="W215" s="61">
        <f t="shared" si="90"/>
        <v>1.270815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1.286376</v>
      </c>
      <c r="G216" s="61">
        <f t="shared" si="91"/>
        <v>1.286376</v>
      </c>
      <c r="H216" s="61">
        <f t="shared" si="91"/>
        <v>1.24488</v>
      </c>
      <c r="I216" s="61">
        <f t="shared" si="91"/>
        <v>3.5479878000000005</v>
      </c>
      <c r="J216" s="61">
        <f t="shared" si="91"/>
        <v>3.6169017499999994</v>
      </c>
      <c r="K216" s="61">
        <f t="shared" si="91"/>
        <v>3.6169017499999994</v>
      </c>
      <c r="L216" s="61">
        <f t="shared" si="91"/>
        <v>1.24488</v>
      </c>
      <c r="M216" s="61">
        <f t="shared" si="91"/>
        <v>1.24488</v>
      </c>
      <c r="N216" s="61">
        <f t="shared" si="91"/>
        <v>1.286376</v>
      </c>
      <c r="O216" s="61">
        <f t="shared" si="91"/>
        <v>1.286376</v>
      </c>
      <c r="P216" s="61">
        <f t="shared" si="91"/>
        <v>1.286376</v>
      </c>
      <c r="Q216" s="61">
        <f t="shared" si="91"/>
        <v>1.286376</v>
      </c>
      <c r="R216" s="61">
        <f t="shared" si="91"/>
        <v>1.24488</v>
      </c>
      <c r="S216" s="61">
        <f t="shared" si="91"/>
        <v>1.24488</v>
      </c>
      <c r="T216" s="61">
        <f t="shared" si="91"/>
        <v>1.286376</v>
      </c>
      <c r="U216" s="61">
        <f t="shared" si="91"/>
        <v>0</v>
      </c>
      <c r="V216" s="61">
        <f t="shared" si="91"/>
        <v>1.3979363999999999</v>
      </c>
      <c r="W216" s="61">
        <f t="shared" si="91"/>
        <v>1.4252279999999999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1.2972607199999999</v>
      </c>
      <c r="U217" s="61">
        <f t="shared" si="92"/>
        <v>1.33288344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39.837106959999993</v>
      </c>
      <c r="AB219" t="s">
        <v>222</v>
      </c>
    </row>
    <row r="220" spans="1:28" x14ac:dyDescent="0.25">
      <c r="AA220" s="30">
        <f>SUM(B215:Y217)</f>
        <v>39.837106959999993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47.284000000000006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155.58039004346091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0.35025029565217397</v>
      </c>
      <c r="J5" s="143">
        <f>CdTrp1!E215+CdTrp2!E215+CdTrp3!E215+CdTrp4!E215</f>
        <v>0.35025029565217397</v>
      </c>
      <c r="K5" s="143">
        <f>CdTrp1!F215+CdTrp2!F215+CdTrp3!F215+CdTrp4!F215</f>
        <v>0.38777711304347828</v>
      </c>
      <c r="L5" s="143">
        <f>CdTrp1!G215+CdTrp2!G215+CdTrp3!G215+CdTrp4!G215</f>
        <v>5.8186343015652184</v>
      </c>
      <c r="M5" s="143">
        <f>CdTrp1!H215+CdTrp2!H215+CdTrp3!H215+CdTrp4!H215</f>
        <v>8.006711835652176</v>
      </c>
      <c r="N5" s="143">
        <f>CdTrp1!I215+CdTrp2!I215+CdTrp3!I215+CdTrp4!I215</f>
        <v>5.6807510504347833</v>
      </c>
      <c r="O5" s="143">
        <f>CdTrp1!J215+CdTrp2!J215+CdTrp3!J215+CdTrp4!J215</f>
        <v>6.5079109881739141</v>
      </c>
      <c r="P5" s="143">
        <f>CdTrp1!K215+CdTrp2!K215+CdTrp3!K215+CdTrp4!K215</f>
        <v>5.5896995280000006</v>
      </c>
      <c r="Q5" s="143">
        <f>CdTrp1!L215+CdTrp2!L215+CdTrp3!L215+CdTrp4!L215</f>
        <v>5.409386640000001</v>
      </c>
      <c r="R5" s="143">
        <f>CdTrp1!M215+CdTrp2!M215+CdTrp3!M215+CdTrp4!M215</f>
        <v>1.0937804347826088</v>
      </c>
      <c r="S5" s="143">
        <f>CdTrp1!N215+CdTrp2!N215+CdTrp3!N215+CdTrp4!N215</f>
        <v>1.1302397826086958</v>
      </c>
      <c r="T5" s="143">
        <f>CdTrp1!O215+CdTrp2!O215+CdTrp3!O215+CdTrp4!O215</f>
        <v>1.1302397826086958</v>
      </c>
      <c r="U5" s="143">
        <f>CdTrp1!P215+CdTrp2!P215+CdTrp3!P215+CdTrp4!P215</f>
        <v>1.1302397826086958</v>
      </c>
      <c r="V5" s="143">
        <f>CdTrp1!Q215+CdTrp2!Q215+CdTrp3!Q215+CdTrp4!Q215</f>
        <v>1.1302397826086958</v>
      </c>
      <c r="W5" s="143">
        <f>CdTrp1!R215+CdTrp2!R215+CdTrp3!R215+CdTrp4!R215</f>
        <v>1.0937804347826088</v>
      </c>
      <c r="X5" s="143">
        <f>CdTrp1!S215+CdTrp2!S215+CdTrp3!S215+CdTrp4!S215</f>
        <v>1.0937804347826088</v>
      </c>
      <c r="Y5" s="143">
        <f>CdTrp1!T215+CdTrp2!T215+CdTrp3!T215+CdTrp4!T215</f>
        <v>1.8988649307478269</v>
      </c>
      <c r="Z5" s="143">
        <f>CdTrp1!U215+CdTrp2!U215+CdTrp3!U215+CdTrp4!U215</f>
        <v>4.2762400787826094</v>
      </c>
      <c r="AA5" s="143">
        <f>CdTrp1!V215+CdTrp2!V215+CdTrp3!V215+CdTrp4!V215</f>
        <v>1.2967500000000001</v>
      </c>
      <c r="AB5" s="143">
        <f>CdTrp1!W215+CdTrp2!W215+CdTrp3!W215+CdTrp4!W215</f>
        <v>1.270815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137.11707443596526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0.93215652173913055</v>
      </c>
      <c r="H6" s="143">
        <f>CdTrp1!C216+CdTrp2!C216+CdTrp3!C216+CdTrp4!C216</f>
        <v>0.93215652173913055</v>
      </c>
      <c r="I6" s="143">
        <f>CdTrp1!D216+CdTrp2!D216+CdTrp3!D216+CdTrp4!D216</f>
        <v>0.84194782608695662</v>
      </c>
      <c r="J6" s="143">
        <f>CdTrp1!E216+CdTrp2!E216+CdTrp3!E216+CdTrp4!E216</f>
        <v>0.84194782608695662</v>
      </c>
      <c r="K6" s="143">
        <f>CdTrp1!F216+CdTrp2!F216+CdTrp3!F216+CdTrp4!F216</f>
        <v>1.5100935652173912</v>
      </c>
      <c r="L6" s="143">
        <f>CdTrp1!G216+CdTrp2!G216+CdTrp3!G216+CdTrp4!G216</f>
        <v>1.5100935652173912</v>
      </c>
      <c r="M6" s="143">
        <f>CdTrp1!H216+CdTrp2!H216+CdTrp3!H216+CdTrp4!H216</f>
        <v>1.4613808695652175</v>
      </c>
      <c r="N6" s="143">
        <f>CdTrp1!I216+CdTrp2!I216+CdTrp3!I216+CdTrp4!I216</f>
        <v>3.764488669565218</v>
      </c>
      <c r="O6" s="143">
        <f>CdTrp1!J216+CdTrp2!J216+CdTrp3!J216+CdTrp4!J216</f>
        <v>3.6169017499999994</v>
      </c>
      <c r="P6" s="143">
        <f>CdTrp1!K216+CdTrp2!K216+CdTrp3!K216+CdTrp4!K216</f>
        <v>3.6169017499999994</v>
      </c>
      <c r="Q6" s="143">
        <f>CdTrp1!L216+CdTrp2!L216+CdTrp3!L216+CdTrp4!L216</f>
        <v>1.24488</v>
      </c>
      <c r="R6" s="143">
        <f>CdTrp1!M216+CdTrp2!M216+CdTrp3!M216+CdTrp4!M216</f>
        <v>1.24488</v>
      </c>
      <c r="S6" s="143">
        <f>CdTrp1!N216+CdTrp2!N216+CdTrp3!N216+CdTrp4!N216</f>
        <v>1.286376</v>
      </c>
      <c r="T6" s="143">
        <f>CdTrp1!O216+CdTrp2!O216+CdTrp3!O216+CdTrp4!O216</f>
        <v>1.286376</v>
      </c>
      <c r="U6" s="143">
        <f>CdTrp1!P216+CdTrp2!P216+CdTrp3!P216+CdTrp4!P216</f>
        <v>1.286376</v>
      </c>
      <c r="V6" s="143">
        <f>CdTrp1!Q216+CdTrp2!Q216+CdTrp3!Q216+CdTrp4!Q216</f>
        <v>1.286376</v>
      </c>
      <c r="W6" s="143">
        <f>CdTrp1!R216+CdTrp2!R216+CdTrp3!R216+CdTrp4!R216</f>
        <v>1.24488</v>
      </c>
      <c r="X6" s="143">
        <f>CdTrp1!S216+CdTrp2!S216+CdTrp3!S216+CdTrp4!S216</f>
        <v>1.24488</v>
      </c>
      <c r="Y6" s="143">
        <f>CdTrp1!T216+CdTrp2!T216+CdTrp3!T216+CdTrp4!T216</f>
        <v>1.286376</v>
      </c>
      <c r="Z6" s="143">
        <f>CdTrp1!U216+CdTrp2!U216+CdTrp3!U216+CdTrp4!U216</f>
        <v>0.22371756521739136</v>
      </c>
      <c r="AA6" s="143">
        <f>CdTrp1!V216+CdTrp2!V216+CdTrp3!V216+CdTrp4!V216</f>
        <v>1.6144372695652174</v>
      </c>
      <c r="AB6" s="143">
        <f>CdTrp1!W216+CdTrp2!W216+CdTrp3!W216+CdTrp4!W216</f>
        <v>1.6417288695652175</v>
      </c>
      <c r="AC6" s="143">
        <f>CdTrp1!X216+CdTrp2!X216+CdTrp3!X216+CdTrp4!X216</f>
        <v>0.22371756521739136</v>
      </c>
      <c r="AD6" s="143">
        <f>CdTrp1!Y216+CdTrp2!Y216+CdTrp3!Y216+CdTrp4!Y216</f>
        <v>0.93215652173913055</v>
      </c>
      <c r="AE6" s="153"/>
      <c r="AF6" s="154"/>
    </row>
    <row r="7" spans="1:53" x14ac:dyDescent="0.25">
      <c r="B7" s="14" t="s">
        <v>294</v>
      </c>
      <c r="C7" s="144">
        <f>ROUNDUP(C4-C6-0.9*C5,1)</f>
        <v>143.69999999999999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0.70843895652173916</v>
      </c>
      <c r="L7" s="143">
        <f>CdTrp1!G217+CdTrp2!G217+CdTrp3!G217+CdTrp4!G217</f>
        <v>0.70843895652173916</v>
      </c>
      <c r="M7" s="143">
        <f>CdTrp1!H217+CdTrp2!H217+CdTrp3!H217+CdTrp4!H217</f>
        <v>0.6855860869565219</v>
      </c>
      <c r="N7" s="143">
        <f>CdTrp1!I217+CdTrp2!I217+CdTrp3!I217+CdTrp4!I217</f>
        <v>0.6855860869565219</v>
      </c>
      <c r="O7" s="143">
        <f>CdTrp1!J217+CdTrp2!J217+CdTrp3!J217+CdTrp4!J217</f>
        <v>0.70843895652173916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1.2972607199999999</v>
      </c>
      <c r="Z7" s="143">
        <f>CdTrp1!U217+CdTrp2!U217+CdTrp3!U217+CdTrp4!U217</f>
        <v>2.0413223965217391</v>
      </c>
      <c r="AA7" s="143">
        <f>CdTrp1!V217+CdTrp2!V217+CdTrp3!V217+CdTrp4!V217</f>
        <v>0.6855860869565219</v>
      </c>
      <c r="AB7" s="143">
        <f>CdTrp1!W217+CdTrp2!W217+CdTrp3!W217+CdTrp4!W217</f>
        <v>0.6855860869565219</v>
      </c>
      <c r="AC7" s="143">
        <f>CdTrp1!X217+CdTrp2!X217+CdTrp3!X217+CdTrp4!X217</f>
        <v>0.70843895652173916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0.93215652173913055</v>
      </c>
      <c r="H8" s="143">
        <f t="shared" ref="H8:AD8" si="0">SUM(H5:H7)</f>
        <v>0.93215652173913055</v>
      </c>
      <c r="I8" s="143">
        <f t="shared" si="0"/>
        <v>1.1921981217391306</v>
      </c>
      <c r="J8" s="143">
        <f t="shared" si="0"/>
        <v>1.1921981217391306</v>
      </c>
      <c r="K8" s="143">
        <f t="shared" si="0"/>
        <v>2.6063096347826087</v>
      </c>
      <c r="L8" s="143">
        <f t="shared" si="0"/>
        <v>8.0371668233043483</v>
      </c>
      <c r="M8" s="143">
        <f t="shared" si="0"/>
        <v>10.153678792173917</v>
      </c>
      <c r="N8" s="143">
        <f t="shared" si="0"/>
        <v>10.130825806956524</v>
      </c>
      <c r="O8" s="143">
        <f t="shared" si="0"/>
        <v>10.833251694695653</v>
      </c>
      <c r="P8" s="143">
        <f t="shared" si="0"/>
        <v>9.2066012780000008</v>
      </c>
      <c r="Q8" s="143">
        <f t="shared" si="0"/>
        <v>6.6542666400000012</v>
      </c>
      <c r="R8" s="143">
        <f t="shared" si="0"/>
        <v>2.338660434782609</v>
      </c>
      <c r="S8" s="143">
        <f t="shared" si="0"/>
        <v>2.4166157826086958</v>
      </c>
      <c r="T8" s="143">
        <f t="shared" si="0"/>
        <v>2.4166157826086958</v>
      </c>
      <c r="U8" s="143">
        <f t="shared" si="0"/>
        <v>2.4166157826086958</v>
      </c>
      <c r="V8" s="143">
        <f t="shared" si="0"/>
        <v>2.4166157826086958</v>
      </c>
      <c r="W8" s="143">
        <f t="shared" si="0"/>
        <v>2.338660434782609</v>
      </c>
      <c r="X8" s="143">
        <f t="shared" si="0"/>
        <v>2.338660434782609</v>
      </c>
      <c r="Y8" s="143">
        <f t="shared" si="0"/>
        <v>4.4825016507478264</v>
      </c>
      <c r="Z8" s="143">
        <f t="shared" si="0"/>
        <v>6.5412800405217402</v>
      </c>
      <c r="AA8" s="143">
        <f t="shared" si="0"/>
        <v>3.596773356521739</v>
      </c>
      <c r="AB8" s="143">
        <f t="shared" si="0"/>
        <v>3.5981299565217393</v>
      </c>
      <c r="AC8" s="143">
        <f t="shared" si="0"/>
        <v>0.93215652173913055</v>
      </c>
      <c r="AD8" s="143">
        <f t="shared" si="0"/>
        <v>0.93215652173913055</v>
      </c>
      <c r="AE8" s="153"/>
      <c r="AF8" s="144">
        <f>SUM(G8:AD8)</f>
        <v>98.636252439443524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5.3945077565217394</v>
      </c>
      <c r="S9" s="143">
        <f>CdTrp1!N218+CdTrp2!N218+CdTrp3!N218+CdTrp4!N218</f>
        <v>5.5743246817391308</v>
      </c>
      <c r="T9" s="143">
        <f>CdTrp1!O218+CdTrp2!O218+CdTrp3!O218+CdTrp4!O218</f>
        <v>5.5743246817391308</v>
      </c>
      <c r="U9" s="143">
        <f>CdTrp1!P218+CdTrp2!P218+CdTrp3!P218+CdTrp4!P218</f>
        <v>5.5743246817391308</v>
      </c>
      <c r="V9" s="143">
        <f>CdTrp1!Q218+CdTrp2!Q218+CdTrp3!Q218+CdTrp4!Q218</f>
        <v>5.5743246817391308</v>
      </c>
      <c r="W9" s="143">
        <f>CdTrp1!R218+CdTrp2!R218+CdTrp3!R218+CdTrp4!R218</f>
        <v>5.3945077565217394</v>
      </c>
      <c r="X9" s="143">
        <f>CdTrp1!S218+CdTrp2!S218+CdTrp3!S218+CdTrp4!S218</f>
        <v>5.3945077565217394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9.8000000000000007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9.8000000000000007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15.9</v>
      </c>
      <c r="R14" s="145">
        <f>CdTrp1!AV54+CdTrp2!AV54+CdTrp3!AV54+CdTrp4!AV54</f>
        <v>0</v>
      </c>
      <c r="S14" s="145">
        <f>CdTrp1!AW54+CdTrp2!AW54+CdTrp3!AW54+CdTrp4!AW54</f>
        <v>2.9</v>
      </c>
      <c r="T14" s="145">
        <f>CdTrp1!AX54+CdTrp2!AX54+CdTrp3!AX54+CdTrp4!AX54</f>
        <v>7.3</v>
      </c>
      <c r="U14" s="145">
        <f>CdTrp1!AY54+CdTrp2!AY54+CdTrp3!AY54+CdTrp4!AY54</f>
        <v>5.5</v>
      </c>
      <c r="V14" s="145">
        <f>CdTrp1!AZ54+CdTrp2!AZ54+CdTrp3!AZ54+CdTrp4!AZ54</f>
        <v>2.2999999999999998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57.5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24.5</v>
      </c>
      <c r="H18" s="158">
        <f>G18/G17</f>
        <v>0.42608695652173911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20</v>
      </c>
      <c r="H19" s="158">
        <f>G19/G17</f>
        <v>0.34782608695652173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5.5</v>
      </c>
      <c r="H20" s="158">
        <f>G20/G17</f>
        <v>9.5652173913043481E-2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15.9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2.9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7.3</v>
      </c>
    </row>
    <row r="25" spans="2:9" x14ac:dyDescent="0.25">
      <c r="B25" s="19" t="str">
        <f>[1]Conc!C19</f>
        <v>15 -concentré bovin allaitant</v>
      </c>
      <c r="C25" s="144">
        <f>U14</f>
        <v>5.5</v>
      </c>
    </row>
    <row r="26" spans="2:9" x14ac:dyDescent="0.25">
      <c r="B26" s="19" t="str">
        <f>[1]Conc!C20</f>
        <v>16 -correcteur N bovin allaitant</v>
      </c>
      <c r="C26" s="144">
        <f>V14</f>
        <v>2.2999999999999998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opLeftCell="A5" zoomScale="80" zoomScaleNormal="80" workbookViewId="0">
      <selection activeCell="N19" sqref="N1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0.93215652173913055</v>
      </c>
      <c r="AT5" s="13">
        <f>'Conduite Trp'!H8</f>
        <v>0.93215652173913055</v>
      </c>
      <c r="AU5" s="13">
        <f>'Conduite Trp'!I8</f>
        <v>1.1921981217391306</v>
      </c>
      <c r="AV5" s="13">
        <f>'Conduite Trp'!J8</f>
        <v>1.1921981217391306</v>
      </c>
      <c r="AW5" s="13">
        <f>'Conduite Trp'!K8</f>
        <v>2.6063096347826087</v>
      </c>
      <c r="AX5" s="13">
        <f>'Conduite Trp'!L8</f>
        <v>8.0371668233043483</v>
      </c>
      <c r="AY5" s="13">
        <f>'Conduite Trp'!M8</f>
        <v>10.153678792173917</v>
      </c>
      <c r="AZ5" s="13">
        <f>'Conduite Trp'!N8</f>
        <v>10.130825806956524</v>
      </c>
      <c r="BA5" s="13">
        <f>'Conduite Trp'!O8</f>
        <v>10.833251694695653</v>
      </c>
      <c r="BB5" s="13">
        <f>'Conduite Trp'!P8</f>
        <v>9.2066012780000008</v>
      </c>
      <c r="BC5" s="13">
        <f>'Conduite Trp'!Q8</f>
        <v>6.6542666400000012</v>
      </c>
      <c r="BD5" s="13">
        <f>'Conduite Trp'!R8</f>
        <v>2.338660434782609</v>
      </c>
      <c r="BE5" s="13">
        <f>'Conduite Trp'!S8</f>
        <v>2.4166157826086958</v>
      </c>
      <c r="BF5" s="13">
        <f>'Conduite Trp'!T8</f>
        <v>2.4166157826086958</v>
      </c>
      <c r="BG5" s="13">
        <f>'Conduite Trp'!U8</f>
        <v>2.4166157826086958</v>
      </c>
      <c r="BH5" s="13">
        <f>'Conduite Trp'!V8</f>
        <v>2.4166157826086958</v>
      </c>
      <c r="BI5" s="13">
        <f>'Conduite Trp'!W8</f>
        <v>2.338660434782609</v>
      </c>
      <c r="BJ5" s="13">
        <f>'Conduite Trp'!X8</f>
        <v>2.338660434782609</v>
      </c>
      <c r="BK5" s="13">
        <f>'Conduite Trp'!Y8</f>
        <v>4.4825016507478264</v>
      </c>
      <c r="BL5" s="13">
        <f>'Conduite Trp'!Z8</f>
        <v>6.5412800405217402</v>
      </c>
      <c r="BM5" s="13">
        <f>'Conduite Trp'!AA8</f>
        <v>3.596773356521739</v>
      </c>
      <c r="BN5" s="13">
        <f>'Conduite Trp'!AB8</f>
        <v>3.5981299565217393</v>
      </c>
      <c r="BO5" s="13">
        <f>'Conduite Trp'!AC8</f>
        <v>0.93215652173913055</v>
      </c>
      <c r="BP5" s="13">
        <f>'Conduite Trp'!AD8</f>
        <v>0.93215652173913055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266</v>
      </c>
      <c r="R7" s="39">
        <v>1.7</v>
      </c>
      <c r="S7" s="291" t="str">
        <f>VLOOKUP($Q7,[1]MEP!$A$5:$D$300,3)</f>
        <v>PP EXCELLENTE PATUREE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3.3</v>
      </c>
      <c r="W7" s="76">
        <f>VLOOKUP($Q7,[1]MEP!$A$4:$K$300,6)</f>
        <v>3</v>
      </c>
      <c r="X7" s="76">
        <f>VLOOKUP($Q7,[1]MEP!$A$4:$K$300,7)</f>
        <v>2.2999999999999998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5.6099999999999994</v>
      </c>
      <c r="AF7" s="61">
        <f t="shared" ref="AF7:AF26" si="1">$R7*W7</f>
        <v>5.0999999999999996</v>
      </c>
      <c r="AG7" s="61">
        <f t="shared" ref="AG7:AG26" si="2">$R7*X7</f>
        <v>3.9099999999999997</v>
      </c>
      <c r="AH7" s="61">
        <f t="shared" ref="AH7:AH26" si="3">$R7*Y7</f>
        <v>0.85</v>
      </c>
      <c r="AI7" s="61">
        <f t="shared" ref="AI7:AI26" si="4">$R7*Z7</f>
        <v>1.19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10.153678792173917</v>
      </c>
      <c r="AZ7" s="61">
        <f t="shared" si="7"/>
        <v>10.130825806956524</v>
      </c>
      <c r="BA7" s="61">
        <f t="shared" si="7"/>
        <v>10.833251694695653</v>
      </c>
      <c r="BB7" s="61">
        <f t="shared" si="7"/>
        <v>9.2066012780000008</v>
      </c>
      <c r="BC7" s="61">
        <f t="shared" si="7"/>
        <v>6.6542666400000012</v>
      </c>
      <c r="BD7" s="61">
        <f t="shared" si="7"/>
        <v>2.338660434782609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49.317284646608712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47.284000000000006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</v>
      </c>
      <c r="P8">
        <v>2</v>
      </c>
      <c r="Q8" s="39">
        <v>241</v>
      </c>
      <c r="R8" s="39">
        <v>11</v>
      </c>
      <c r="S8" s="291" t="str">
        <f>VLOOKUP($Q8,[1]MEP!$A$5:$D$300,3)</f>
        <v>PP excellente 2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0.75</v>
      </c>
      <c r="Y8" s="76">
        <f>VLOOKUP($Q8,[1]MEP!$A$4:$K$300,8)</f>
        <v>0.75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16.5</v>
      </c>
      <c r="AF8" s="61">
        <f t="shared" si="1"/>
        <v>0</v>
      </c>
      <c r="AG8" s="61">
        <f t="shared" si="2"/>
        <v>8.25</v>
      </c>
      <c r="AH8" s="61">
        <f t="shared" si="3"/>
        <v>8.25</v>
      </c>
      <c r="AI8" s="61">
        <f t="shared" si="4"/>
        <v>11</v>
      </c>
      <c r="AJ8" s="61">
        <f t="shared" si="5"/>
        <v>0</v>
      </c>
      <c r="AK8" s="141"/>
      <c r="AL8" s="61">
        <f t="shared" si="6"/>
        <v>55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2.4166157826086958</v>
      </c>
      <c r="BF8" s="61">
        <f t="shared" si="8"/>
        <v>2.4166157826086958</v>
      </c>
      <c r="BG8" s="61">
        <f t="shared" si="8"/>
        <v>2.4166157826086958</v>
      </c>
      <c r="BH8" s="61">
        <f t="shared" si="8"/>
        <v>2.4166157826086958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9.6664631304347832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47.284000000000006</v>
      </c>
      <c r="G9" s="81"/>
      <c r="H9" s="61">
        <f>SUM(L34:L43)</f>
        <v>0</v>
      </c>
      <c r="I9" s="81"/>
      <c r="J9" s="81"/>
      <c r="K9" s="93">
        <f>H9-F9</f>
        <v>-47.284000000000006</v>
      </c>
      <c r="L9" s="81"/>
      <c r="M9" s="100"/>
      <c r="P9">
        <v>3</v>
      </c>
      <c r="Q9" s="39">
        <v>290</v>
      </c>
      <c r="R9" s="39">
        <v>1</v>
      </c>
      <c r="S9" s="291" t="str">
        <f>VLOOKUP($Q9,[1]MEP!$A$5:$D$300,3)</f>
        <v>PP EXCELLENTE 1  COUPE ESTIVALE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3.5</v>
      </c>
      <c r="W9" s="76">
        <f>VLOOKUP($Q9,[1]MEP!$A$4:$K$300,6)</f>
        <v>0</v>
      </c>
      <c r="X9" s="76">
        <f>VLOOKUP($Q9,[1]MEP!$A$4:$K$300,7)</f>
        <v>1</v>
      </c>
      <c r="Y9" s="76">
        <f>VLOOKUP($Q9,[1]MEP!$A$4:$K$300,8)</f>
        <v>0.7</v>
      </c>
      <c r="Z9" s="76">
        <f>VLOOKUP($Q9,[1]MEP!$A$4:$K$300,9)</f>
        <v>0.5</v>
      </c>
      <c r="AA9" s="76">
        <f>VLOOKUP($Q9,[1]MEP!$A$4:$K$300,10)</f>
        <v>0</v>
      </c>
      <c r="AC9" s="76">
        <f>VLOOKUP($Q9,[1]MEP!$A$4:$K$300,11)</f>
        <v>3.8</v>
      </c>
      <c r="AE9" s="61">
        <f t="shared" si="0"/>
        <v>3.5</v>
      </c>
      <c r="AF9" s="61">
        <f t="shared" si="1"/>
        <v>0</v>
      </c>
      <c r="AG9" s="61">
        <f t="shared" si="2"/>
        <v>1</v>
      </c>
      <c r="AH9" s="61">
        <f t="shared" si="3"/>
        <v>0.7</v>
      </c>
      <c r="AI9" s="61">
        <f t="shared" si="4"/>
        <v>0.5</v>
      </c>
      <c r="AJ9" s="61">
        <f t="shared" si="5"/>
        <v>0</v>
      </c>
      <c r="AK9" s="141"/>
      <c r="AL9" s="61">
        <f t="shared" si="6"/>
        <v>3.8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2.338660434782609</v>
      </c>
      <c r="BJ9" s="61">
        <f t="shared" si="10"/>
        <v>2.338660434782609</v>
      </c>
      <c r="BK9" s="61">
        <f t="shared" si="10"/>
        <v>4.4825016507478264</v>
      </c>
      <c r="BL9" s="61">
        <f t="shared" si="10"/>
        <v>6.5412800405217402</v>
      </c>
      <c r="BM9" s="61">
        <f t="shared" si="10"/>
        <v>3.596773356521739</v>
      </c>
      <c r="BN9" s="61">
        <f t="shared" si="10"/>
        <v>3.5981299565217393</v>
      </c>
      <c r="BO9" s="61">
        <f t="shared" si="10"/>
        <v>0</v>
      </c>
      <c r="BP9" s="61">
        <f t="shared" si="10"/>
        <v>0</v>
      </c>
      <c r="BR9" s="61">
        <f t="shared" si="9"/>
        <v>22.896005873878259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242</v>
      </c>
      <c r="R10" s="39">
        <v>5</v>
      </c>
      <c r="S10" s="291" t="str">
        <f>VLOOKUP($Q10,[1]MEP!$A$5:$D$300,3)</f>
        <v>PP bonne 1 coupe estivales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0.75</v>
      </c>
      <c r="Y10" s="76">
        <f>VLOOKUP($Q10,[1]MEP!$A$4:$K$300,8)</f>
        <v>0.75</v>
      </c>
      <c r="Z10" s="76">
        <f>VLOOKUP($Q10,[1]MEP!$A$4:$K$300,9)</f>
        <v>1.06</v>
      </c>
      <c r="AA10" s="76">
        <f>VLOOKUP($Q10,[1]MEP!$A$4:$K$300,10)</f>
        <v>0</v>
      </c>
      <c r="AC10" s="76">
        <f>VLOOKUP($Q10,[1]MEP!$A$4:$K$300,11)</f>
        <v>3.27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3.75</v>
      </c>
      <c r="AI10" s="61">
        <f t="shared" si="4"/>
        <v>5.3000000000000007</v>
      </c>
      <c r="AJ10" s="61">
        <f t="shared" si="5"/>
        <v>0</v>
      </c>
      <c r="AK10" s="141"/>
      <c r="AL10" s="61">
        <f t="shared" si="6"/>
        <v>16.350000000000001</v>
      </c>
      <c r="AQ10" s="32"/>
      <c r="AR10" s="70">
        <v>4</v>
      </c>
      <c r="AS10" s="61">
        <f>IF(AS$4=4,AS$5,0)</f>
        <v>0.93215652173913055</v>
      </c>
      <c r="AT10" s="61">
        <f t="shared" ref="AT10:BP10" si="11">IF(AT$4=4,AT$5,0)</f>
        <v>0.93215652173913055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0.93215652173913055</v>
      </c>
      <c r="BP10" s="61">
        <f t="shared" si="11"/>
        <v>0.93215652173913055</v>
      </c>
      <c r="BR10" s="61">
        <f t="shared" si="9"/>
        <v>3.7286260869565222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91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1.1921981217391306</v>
      </c>
      <c r="AV11" s="61">
        <f t="shared" si="12"/>
        <v>1.1921981217391306</v>
      </c>
      <c r="AW11" s="61">
        <f t="shared" si="12"/>
        <v>2.6063096347826087</v>
      </c>
      <c r="AX11" s="61">
        <f t="shared" si="12"/>
        <v>8.0371668233043483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13.027872701565219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</v>
      </c>
      <c r="P12">
        <v>6</v>
      </c>
      <c r="Q12" s="39"/>
      <c r="R12" s="39"/>
      <c r="S12" s="291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9.8000000000000007</v>
      </c>
      <c r="G13" s="81"/>
      <c r="H13" s="61">
        <f>F61</f>
        <v>0</v>
      </c>
      <c r="I13" s="81"/>
      <c r="J13" s="81"/>
      <c r="K13" s="93">
        <f>H13-F13</f>
        <v>-9.8000000000000007</v>
      </c>
      <c r="L13" s="81"/>
      <c r="M13" s="100"/>
      <c r="O13" s="3"/>
      <c r="P13">
        <v>7</v>
      </c>
      <c r="Q13" s="39"/>
      <c r="R13" s="39"/>
      <c r="S13" s="29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0.35025029565217397</v>
      </c>
      <c r="AV15" s="13">
        <f>'Conduite Trp'!J5</f>
        <v>0.35025029565217397</v>
      </c>
      <c r="AW15" s="13">
        <f>'Conduite Trp'!K5</f>
        <v>0.38777711304347828</v>
      </c>
      <c r="AX15" s="13">
        <f>'Conduite Trp'!L5</f>
        <v>5.8186343015652184</v>
      </c>
      <c r="AY15" s="13">
        <f>'Conduite Trp'!M5</f>
        <v>8.006711835652176</v>
      </c>
      <c r="AZ15" s="13">
        <f>'Conduite Trp'!N5</f>
        <v>5.6807510504347833</v>
      </c>
      <c r="BA15" s="13">
        <f>'Conduite Trp'!O5</f>
        <v>6.5079109881739141</v>
      </c>
      <c r="BB15" s="13">
        <f>'Conduite Trp'!P5</f>
        <v>5.5896995280000006</v>
      </c>
      <c r="BC15" s="13">
        <f>'Conduite Trp'!Q5</f>
        <v>5.409386640000001</v>
      </c>
      <c r="BD15" s="13">
        <f>'Conduite Trp'!R5</f>
        <v>1.0937804347826088</v>
      </c>
      <c r="BE15" s="13">
        <f>'Conduite Trp'!S5</f>
        <v>1.1302397826086958</v>
      </c>
      <c r="BF15" s="13">
        <f>'Conduite Trp'!T5</f>
        <v>1.1302397826086958</v>
      </c>
      <c r="BG15" s="13">
        <f>'Conduite Trp'!U5</f>
        <v>1.1302397826086958</v>
      </c>
      <c r="BH15" s="13">
        <f>'Conduite Trp'!V5</f>
        <v>1.1302397826086958</v>
      </c>
      <c r="BI15" s="13">
        <f>'Conduite Trp'!W5</f>
        <v>1.0937804347826088</v>
      </c>
      <c r="BJ15" s="13">
        <f>'Conduite Trp'!X5</f>
        <v>1.0937804347826088</v>
      </c>
      <c r="BK15" s="13">
        <f>'Conduite Trp'!Y5</f>
        <v>1.8988649307478269</v>
      </c>
      <c r="BL15" s="13">
        <f>'Conduite Trp'!Z5</f>
        <v>4.2762400787826094</v>
      </c>
      <c r="BM15" s="13">
        <f>'Conduite Trp'!AA5</f>
        <v>1.2967500000000001</v>
      </c>
      <c r="BN15" s="13">
        <f>'Conduite Trp'!AB5</f>
        <v>1.270815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0.93215652173913055</v>
      </c>
      <c r="AT16" s="13">
        <f>'Conduite Trp'!H6</f>
        <v>0.93215652173913055</v>
      </c>
      <c r="AU16" s="13">
        <f>'Conduite Trp'!I6</f>
        <v>0.84194782608695662</v>
      </c>
      <c r="AV16" s="13">
        <f>'Conduite Trp'!J6</f>
        <v>0.84194782608695662</v>
      </c>
      <c r="AW16" s="13">
        <f>'Conduite Trp'!K6</f>
        <v>1.5100935652173912</v>
      </c>
      <c r="AX16" s="13">
        <f>'Conduite Trp'!L6</f>
        <v>1.5100935652173912</v>
      </c>
      <c r="AY16" s="13">
        <f>'Conduite Trp'!M6</f>
        <v>1.4613808695652175</v>
      </c>
      <c r="AZ16" s="13">
        <f>'Conduite Trp'!N6</f>
        <v>3.764488669565218</v>
      </c>
      <c r="BA16" s="13">
        <f>'Conduite Trp'!O6</f>
        <v>3.6169017499999994</v>
      </c>
      <c r="BB16" s="13">
        <f>'Conduite Trp'!P6</f>
        <v>3.6169017499999994</v>
      </c>
      <c r="BC16" s="13">
        <f>'Conduite Trp'!Q6</f>
        <v>1.24488</v>
      </c>
      <c r="BD16" s="13">
        <f>'Conduite Trp'!R6</f>
        <v>1.24488</v>
      </c>
      <c r="BE16" s="13">
        <f>'Conduite Trp'!S6</f>
        <v>1.286376</v>
      </c>
      <c r="BF16" s="13">
        <f>'Conduite Trp'!T6</f>
        <v>1.286376</v>
      </c>
      <c r="BG16" s="13">
        <f>'Conduite Trp'!U6</f>
        <v>1.286376</v>
      </c>
      <c r="BH16" s="13">
        <f>'Conduite Trp'!V6</f>
        <v>1.286376</v>
      </c>
      <c r="BI16" s="13">
        <f>'Conduite Trp'!W6</f>
        <v>1.24488</v>
      </c>
      <c r="BJ16" s="13">
        <f>'Conduite Trp'!X6</f>
        <v>1.24488</v>
      </c>
      <c r="BK16" s="13">
        <f>'Conduite Trp'!Y6</f>
        <v>1.286376</v>
      </c>
      <c r="BL16" s="13">
        <f>'Conduite Trp'!Z6</f>
        <v>0.22371756521739136</v>
      </c>
      <c r="BM16" s="13">
        <f>'Conduite Trp'!AA6</f>
        <v>1.6144372695652174</v>
      </c>
      <c r="BN16" s="13">
        <f>'Conduite Trp'!AB6</f>
        <v>1.6417288695652175</v>
      </c>
      <c r="BO16" s="13">
        <f>'Conduite Trp'!AC6</f>
        <v>0.22371756521739136</v>
      </c>
      <c r="BP16" s="13">
        <f>'Conduite Trp'!AD6</f>
        <v>0.93215652173913055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1.2972607199999999</v>
      </c>
      <c r="BL17" s="13">
        <f>'Conduite Trp'!Z7</f>
        <v>2.0413223965217391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0.70843895652173916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8.006711835652176</v>
      </c>
      <c r="AZ19" s="61">
        <f t="shared" si="15"/>
        <v>5.6807510504347833</v>
      </c>
      <c r="BA19" s="61">
        <f t="shared" si="15"/>
        <v>6.5079109881739141</v>
      </c>
      <c r="BB19" s="61">
        <f t="shared" si="15"/>
        <v>5.5896995280000006</v>
      </c>
      <c r="BC19" s="61">
        <f t="shared" si="15"/>
        <v>5.409386640000001</v>
      </c>
      <c r="BD19" s="61">
        <f t="shared" si="15"/>
        <v>1.0937804347826088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32.288240477043487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1.1302397826086958</v>
      </c>
      <c r="BF20" s="61">
        <f t="shared" si="16"/>
        <v>1.1302397826086958</v>
      </c>
      <c r="BG20" s="61">
        <f t="shared" si="16"/>
        <v>1.1302397826086958</v>
      </c>
      <c r="BH20" s="61">
        <f t="shared" si="16"/>
        <v>1.1302397826086958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4.5209591304347834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1.0937804347826088</v>
      </c>
      <c r="BJ21" s="61">
        <f t="shared" si="18"/>
        <v>1.0937804347826088</v>
      </c>
      <c r="BK21" s="61">
        <f t="shared" si="18"/>
        <v>1.8988649307478269</v>
      </c>
      <c r="BL21" s="61">
        <f t="shared" si="18"/>
        <v>4.2762400787826094</v>
      </c>
      <c r="BM21" s="61">
        <f t="shared" si="18"/>
        <v>1.2967500000000001</v>
      </c>
      <c r="BN21" s="61">
        <f t="shared" si="18"/>
        <v>1.270815</v>
      </c>
      <c r="BO21" s="61">
        <f t="shared" si="18"/>
        <v>0</v>
      </c>
      <c r="BP21" s="61">
        <f t="shared" si="18"/>
        <v>0</v>
      </c>
      <c r="BR21" s="61">
        <f t="shared" si="17"/>
        <v>10.930230879095655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0.35025029565217397</v>
      </c>
      <c r="AV23" s="61">
        <f t="shared" si="20"/>
        <v>0.35025029565217397</v>
      </c>
      <c r="AW23" s="61">
        <f t="shared" si="20"/>
        <v>0.38777711304347828</v>
      </c>
      <c r="AX23" s="61">
        <f t="shared" si="20"/>
        <v>5.8186343015652184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6.9069120059130444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50.309999999999995</v>
      </c>
      <c r="E24" s="61">
        <f t="shared" si="21"/>
        <v>11.774999999999999</v>
      </c>
      <c r="F24" s="61">
        <f t="shared" si="21"/>
        <v>32.765000000000001</v>
      </c>
      <c r="G24" s="61">
        <f t="shared" si="21"/>
        <v>18.056000000000001</v>
      </c>
      <c r="H24" s="61">
        <f t="shared" si="21"/>
        <v>27.101000000000003</v>
      </c>
      <c r="I24" s="61">
        <f t="shared" si="21"/>
        <v>0</v>
      </c>
      <c r="J24" s="63"/>
      <c r="K24" s="61">
        <f>AL27+AL49+AL71</f>
        <v>113.80500000000001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49.317284646608712</v>
      </c>
      <c r="E25" s="61">
        <f>BR8</f>
        <v>9.6664631304347832</v>
      </c>
      <c r="F25" s="61">
        <f>BR9</f>
        <v>22.896005873878259</v>
      </c>
      <c r="G25" s="61">
        <f>BR10</f>
        <v>3.7286260869565222</v>
      </c>
      <c r="H25" s="61">
        <f>BR11</f>
        <v>13.027872701565219</v>
      </c>
      <c r="I25" s="61">
        <f>BR12</f>
        <v>0</v>
      </c>
      <c r="J25" s="63"/>
      <c r="K25" s="76">
        <f>'Conduite Trp'!C7</f>
        <v>143.69999999999999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0.99271535339128292</v>
      </c>
      <c r="E27" s="93">
        <f t="shared" si="23"/>
        <v>2.1085368695652154</v>
      </c>
      <c r="F27" s="93">
        <f t="shared" si="23"/>
        <v>9.8689941261217413</v>
      </c>
      <c r="G27" s="93">
        <f t="shared" si="23"/>
        <v>14.327373913043479</v>
      </c>
      <c r="H27" s="93">
        <f t="shared" si="23"/>
        <v>14.073127298434784</v>
      </c>
      <c r="I27" s="93">
        <f t="shared" si="23"/>
        <v>0</v>
      </c>
      <c r="J27" s="63"/>
      <c r="K27" s="93">
        <f>K24-K25</f>
        <v>-29.894999999999982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33.11</v>
      </c>
      <c r="AF27" s="75">
        <f t="shared" ref="AF27:AJ27" si="24">SUM(AF7:AF26)</f>
        <v>5.0999999999999996</v>
      </c>
      <c r="AG27" s="75">
        <f t="shared" si="24"/>
        <v>16.91</v>
      </c>
      <c r="AH27" s="75">
        <f t="shared" si="24"/>
        <v>13.549999999999999</v>
      </c>
      <c r="AI27" s="75">
        <f t="shared" si="24"/>
        <v>17.990000000000002</v>
      </c>
      <c r="AJ27" s="75">
        <f t="shared" si="24"/>
        <v>0</v>
      </c>
      <c r="AK27"/>
      <c r="AL27" s="75">
        <f>SUM(AL7:AL26)</f>
        <v>75.150000000000006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1.4613808695652175</v>
      </c>
      <c r="AZ27" s="61">
        <f t="shared" si="25"/>
        <v>3.764488669565218</v>
      </c>
      <c r="BA27" s="61">
        <f t="shared" si="25"/>
        <v>3.6169017499999994</v>
      </c>
      <c r="BB27" s="61">
        <f t="shared" si="25"/>
        <v>3.6169017499999994</v>
      </c>
      <c r="BC27" s="61">
        <f t="shared" si="25"/>
        <v>1.24488</v>
      </c>
      <c r="BD27" s="61">
        <f t="shared" si="25"/>
        <v>1.24488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14.949433039130437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1.286376</v>
      </c>
      <c r="BF28" s="61">
        <f t="shared" si="26"/>
        <v>1.286376</v>
      </c>
      <c r="BG28" s="61">
        <f t="shared" si="26"/>
        <v>1.286376</v>
      </c>
      <c r="BH28" s="61">
        <f t="shared" si="26"/>
        <v>1.286376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5.1455039999999999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239</v>
      </c>
      <c r="R29" s="39">
        <v>2.8</v>
      </c>
      <c r="S29" s="291" t="str">
        <f>VLOOKUP($Q29,[1]MEP!$A$5:$D$300,3)</f>
        <v>PP bonnne P prélèvement étalé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</v>
      </c>
      <c r="W29" s="76">
        <f>VLOOKUP($Q29,[1]MEP!$A$4:$K$300,6)</f>
        <v>2</v>
      </c>
      <c r="X29" s="76">
        <f>VLOOKUP($Q29,[1]MEP!$A$4:$K$300,7)</f>
        <v>1.5</v>
      </c>
      <c r="Y29" s="76">
        <f>VLOOKUP($Q29,[1]MEP!$A$4:$K$300,8)</f>
        <v>0.5</v>
      </c>
      <c r="Z29" s="76">
        <f>VLOOKUP($Q29,[1]MEP!$A$4:$K$300,9)</f>
        <v>0.5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8.3999999999999986</v>
      </c>
      <c r="AF29" s="61">
        <f t="shared" ref="AF29:AF48" si="29">$R29*W29</f>
        <v>5.6</v>
      </c>
      <c r="AG29" s="61">
        <f t="shared" ref="AG29:AG48" si="30">$R29*X29</f>
        <v>4.1999999999999993</v>
      </c>
      <c r="AH29" s="61">
        <f t="shared" ref="AH29:AH48" si="31">$R29*Y29</f>
        <v>1.4</v>
      </c>
      <c r="AI29" s="61">
        <f t="shared" ref="AI29:AI48" si="32">$R29*Z29</f>
        <v>1.4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1.24488</v>
      </c>
      <c r="BJ29" s="61">
        <f t="shared" si="35"/>
        <v>1.24488</v>
      </c>
      <c r="BK29" s="61">
        <f t="shared" si="35"/>
        <v>1.286376</v>
      </c>
      <c r="BL29" s="61">
        <f t="shared" si="35"/>
        <v>0.22371756521739136</v>
      </c>
      <c r="BM29" s="61">
        <f t="shared" si="35"/>
        <v>1.6144372695652174</v>
      </c>
      <c r="BN29" s="61">
        <f t="shared" si="35"/>
        <v>1.6417288695652175</v>
      </c>
      <c r="BO29" s="61">
        <f t="shared" si="35"/>
        <v>0</v>
      </c>
      <c r="BP29" s="61">
        <f t="shared" si="35"/>
        <v>0</v>
      </c>
      <c r="BR29" s="61">
        <f t="shared" si="27"/>
        <v>7.2560197043478265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>
        <v>1.5</v>
      </c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2.25</v>
      </c>
      <c r="AF30" s="61">
        <f t="shared" si="29"/>
        <v>0</v>
      </c>
      <c r="AG30" s="61">
        <f t="shared" si="30"/>
        <v>1.125</v>
      </c>
      <c r="AH30" s="61">
        <f t="shared" si="31"/>
        <v>1.125</v>
      </c>
      <c r="AI30" s="61">
        <f t="shared" si="32"/>
        <v>1.59</v>
      </c>
      <c r="AJ30" s="61">
        <f t="shared" si="33"/>
        <v>0</v>
      </c>
      <c r="AK30"/>
      <c r="AL30" s="61">
        <f t="shared" si="34"/>
        <v>4.9050000000000002</v>
      </c>
      <c r="AR30" s="70">
        <v>4</v>
      </c>
      <c r="AS30" s="61">
        <f>IF(AS$4=4,AS$16,0)</f>
        <v>0.93215652173913055</v>
      </c>
      <c r="AT30" s="61">
        <f t="shared" ref="AT30:BP30" si="36">IF(AT$4=4,AT$16,0)</f>
        <v>0.93215652173913055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0.22371756521739136</v>
      </c>
      <c r="BP30" s="61">
        <f t="shared" si="36"/>
        <v>0.93215652173913055</v>
      </c>
      <c r="BR30" s="61">
        <f t="shared" si="27"/>
        <v>3.0201871304347829</v>
      </c>
    </row>
    <row r="31" spans="2:72" ht="15" customHeight="1" x14ac:dyDescent="0.25">
      <c r="D31" s="43" t="s">
        <v>311</v>
      </c>
      <c r="P31">
        <v>3</v>
      </c>
      <c r="Q31" s="39">
        <v>194</v>
      </c>
      <c r="R31" s="39">
        <v>5</v>
      </c>
      <c r="S31" s="291" t="str">
        <f>VLOOKUP($Q31,[1]MEP!$A$5:$D$300,3)</f>
        <v>PT Excellente 2 coupes avec deprimage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0.88000000000000012</v>
      </c>
      <c r="W31" s="76">
        <f>VLOOKUP($Q31,[1]MEP!$A$4:$K$300,6)</f>
        <v>0</v>
      </c>
      <c r="X31" s="76">
        <f>VLOOKUP($Q31,[1]MEP!$A$4:$K$300,7)</f>
        <v>0.82799999999999996</v>
      </c>
      <c r="Y31" s="76">
        <f>VLOOKUP($Q31,[1]MEP!$A$4:$K$300,8)</f>
        <v>0.20699999999999999</v>
      </c>
      <c r="Z31" s="76">
        <f>VLOOKUP($Q31,[1]MEP!$A$4:$K$300,9)</f>
        <v>1.0349999999999999</v>
      </c>
      <c r="AA31" s="76">
        <f>VLOOKUP($Q31,[1]MEP!$A$4:$K$300,10)</f>
        <v>0</v>
      </c>
      <c r="AC31" s="76">
        <f>VLOOKUP($Q31,[1]MEP!$A$4:$K$300,11)</f>
        <v>6.75</v>
      </c>
      <c r="AE31" s="61">
        <f t="shared" si="28"/>
        <v>4.4000000000000004</v>
      </c>
      <c r="AF31" s="61">
        <f t="shared" si="29"/>
        <v>0</v>
      </c>
      <c r="AG31" s="61">
        <f t="shared" si="30"/>
        <v>4.1399999999999997</v>
      </c>
      <c r="AH31" s="61">
        <f t="shared" si="31"/>
        <v>1.0349999999999999</v>
      </c>
      <c r="AI31" s="61">
        <f t="shared" si="32"/>
        <v>5.1749999999999998</v>
      </c>
      <c r="AJ31" s="61">
        <f t="shared" si="33"/>
        <v>0</v>
      </c>
      <c r="AK31"/>
      <c r="AL31" s="61">
        <f t="shared" si="34"/>
        <v>33.75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0.84194782608695662</v>
      </c>
      <c r="AV31" s="61">
        <f t="shared" si="37"/>
        <v>0.84194782608695662</v>
      </c>
      <c r="AW31" s="61">
        <f t="shared" si="37"/>
        <v>1.5100935652173912</v>
      </c>
      <c r="AX31" s="61">
        <f t="shared" si="37"/>
        <v>1.5100935652173912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4.7040827826086957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0.6855860869565219</v>
      </c>
      <c r="AZ35" s="61">
        <f t="shared" si="43"/>
        <v>0.6855860869565219</v>
      </c>
      <c r="BA35" s="61">
        <f t="shared" si="43"/>
        <v>0.70843895652173916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2.0796111304347829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1.2972607199999999</v>
      </c>
      <c r="BL37" s="61">
        <f t="shared" si="46"/>
        <v>2.0413223965217391</v>
      </c>
      <c r="BM37" s="61">
        <f t="shared" si="46"/>
        <v>0.6855860869565219</v>
      </c>
      <c r="BN37" s="61">
        <f t="shared" si="46"/>
        <v>0.6855860869565219</v>
      </c>
      <c r="BO37" s="61">
        <f t="shared" si="46"/>
        <v>0</v>
      </c>
      <c r="BP37" s="61">
        <f t="shared" si="46"/>
        <v>0</v>
      </c>
      <c r="BR37" s="61">
        <f t="shared" si="45"/>
        <v>4.7097552904347824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0.70843895652173916</v>
      </c>
      <c r="BP38" s="61">
        <f t="shared" si="47"/>
        <v>0</v>
      </c>
      <c r="BR38" s="61">
        <f t="shared" si="45"/>
        <v>0.70843895652173916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0.70843895652173916</v>
      </c>
      <c r="AX39" s="61">
        <f t="shared" si="48"/>
        <v>0.70843895652173916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1.4168779130434783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15.049999999999999</v>
      </c>
      <c r="AF49" s="75">
        <f t="shared" ref="AF49" si="50">SUM(AF29:AF48)</f>
        <v>5.6</v>
      </c>
      <c r="AG49" s="75">
        <f t="shared" ref="AG49" si="51">SUM(AG29:AG48)</f>
        <v>9.4649999999999999</v>
      </c>
      <c r="AH49" s="75">
        <f t="shared" ref="AH49" si="52">SUM(AH29:AH48)</f>
        <v>3.5599999999999996</v>
      </c>
      <c r="AI49" s="75">
        <f t="shared" ref="AI49" si="53">SUM(AI29:AI48)</f>
        <v>8.1649999999999991</v>
      </c>
      <c r="AJ49" s="75">
        <f t="shared" ref="AJ49" si="54">SUM(AJ29:AJ48)</f>
        <v>0</v>
      </c>
      <c r="AK49"/>
      <c r="AL49" s="75">
        <f>SUM(AL29:AL48)</f>
        <v>38.655000000000001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17</v>
      </c>
      <c r="R51" s="39">
        <v>4.3</v>
      </c>
      <c r="S51" s="291" t="str">
        <f>VLOOKUP($Q51,[1]MEP!$A$5:$D$300,3)</f>
        <v>landes privées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0.3</v>
      </c>
      <c r="Y51" s="76">
        <f>VLOOKUP($Q51,[1]MEP!$A$4:$K$300,8)</f>
        <v>0.22</v>
      </c>
      <c r="Z51" s="76">
        <f>VLOOKUP($Q51,[1]MEP!$A$4:$K$300,9)</f>
        <v>0.22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2.15</v>
      </c>
      <c r="AF51" s="61">
        <f t="shared" ref="AF51:AF70" si="61">$R51*W51</f>
        <v>1.075</v>
      </c>
      <c r="AG51" s="61">
        <f t="shared" ref="AG51:AG70" si="62">$R51*X51</f>
        <v>1.2899999999999998</v>
      </c>
      <c r="AH51" s="61">
        <f t="shared" ref="AH51:AH70" si="63">$R51*Y51</f>
        <v>0.94599999999999995</v>
      </c>
      <c r="AI51" s="61">
        <f t="shared" ref="AI51:AI70" si="64">$R51*Z51</f>
        <v>0.94599999999999995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172</v>
      </c>
      <c r="R52" s="39">
        <v>6.8</v>
      </c>
      <c r="S52" s="291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5.0999999999999996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2.15</v>
      </c>
      <c r="AF71" s="75">
        <f t="shared" si="68"/>
        <v>1.075</v>
      </c>
      <c r="AG71" s="75">
        <f t="shared" si="68"/>
        <v>6.39</v>
      </c>
      <c r="AH71" s="75">
        <f t="shared" si="68"/>
        <v>0.94599999999999995</v>
      </c>
      <c r="AI71" s="75">
        <f t="shared" si="68"/>
        <v>0.94599999999999995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33.11</v>
      </c>
      <c r="E72" s="61">
        <f t="shared" ref="E72:H72" si="69">AF27</f>
        <v>5.0999999999999996</v>
      </c>
      <c r="F72" s="61">
        <f t="shared" si="69"/>
        <v>16.91</v>
      </c>
      <c r="G72" s="61">
        <f t="shared" si="69"/>
        <v>13.549999999999999</v>
      </c>
      <c r="H72" s="61">
        <f t="shared" si="69"/>
        <v>17.990000000000002</v>
      </c>
      <c r="I72" s="61">
        <f t="shared" ref="I72" si="70">AJ75+AJ97+AJ119</f>
        <v>0</v>
      </c>
      <c r="J72" s="63"/>
      <c r="K72" s="61">
        <f>+K24</f>
        <v>113.80500000000001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32.288240477043487</v>
      </c>
      <c r="E73" s="61">
        <f>BR20</f>
        <v>4.5209591304347834</v>
      </c>
      <c r="F73" s="61">
        <f>BR21</f>
        <v>10.930230879095655</v>
      </c>
      <c r="G73" s="61">
        <f>BR22</f>
        <v>0</v>
      </c>
      <c r="H73" s="61">
        <f>BR23</f>
        <v>6.9069120059130444</v>
      </c>
      <c r="I73" s="61">
        <f>BR60</f>
        <v>0</v>
      </c>
      <c r="J73" s="63"/>
      <c r="K73" s="76">
        <f>+K25</f>
        <v>143.69999999999999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0.821759522956512</v>
      </c>
      <c r="E75" s="93">
        <f t="shared" ref="E75:I75" si="71">E72-E73</f>
        <v>0.57904086956521628</v>
      </c>
      <c r="F75" s="93">
        <f t="shared" si="71"/>
        <v>5.9797691209043453</v>
      </c>
      <c r="G75" s="93">
        <f t="shared" si="71"/>
        <v>13.549999999999999</v>
      </c>
      <c r="H75" s="93">
        <f t="shared" si="71"/>
        <v>11.083087994086958</v>
      </c>
      <c r="I75" s="93">
        <f t="shared" si="71"/>
        <v>0</v>
      </c>
      <c r="J75" s="63"/>
      <c r="K75" s="93">
        <f>+K27</f>
        <v>-29.894999999999982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15.049999999999999</v>
      </c>
      <c r="E82" s="61">
        <f t="shared" ref="E82:H82" si="72">AF49</f>
        <v>5.6</v>
      </c>
      <c r="F82" s="61">
        <f t="shared" si="72"/>
        <v>9.4649999999999999</v>
      </c>
      <c r="G82" s="61">
        <f t="shared" si="72"/>
        <v>3.5599999999999996</v>
      </c>
      <c r="H82" s="61">
        <f t="shared" si="72"/>
        <v>8.1649999999999991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14.949433039130437</v>
      </c>
      <c r="E83" s="61">
        <f>BR28</f>
        <v>5.1455039999999999</v>
      </c>
      <c r="F83" s="61">
        <f>BR29</f>
        <v>7.2560197043478265</v>
      </c>
      <c r="G83" s="61">
        <f>BR30</f>
        <v>3.0201871304347829</v>
      </c>
      <c r="H83" s="61">
        <f>BR31</f>
        <v>4.7040827826086957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0.10056696086956229</v>
      </c>
      <c r="E85" s="93">
        <f t="shared" ref="E85:H85" si="73">E82-E83</f>
        <v>0.45449599999999979</v>
      </c>
      <c r="F85" s="93">
        <f t="shared" si="73"/>
        <v>2.2089802956521734</v>
      </c>
      <c r="G85" s="93">
        <f t="shared" si="73"/>
        <v>0.53981286956521668</v>
      </c>
      <c r="H85" s="93">
        <f t="shared" si="73"/>
        <v>3.4609172173913034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2.15</v>
      </c>
      <c r="E92" s="61">
        <f t="shared" ref="E92:I92" si="74">AF71</f>
        <v>1.075</v>
      </c>
      <c r="F92" s="61">
        <f t="shared" si="74"/>
        <v>6.39</v>
      </c>
      <c r="G92" s="61">
        <f t="shared" si="74"/>
        <v>0.94599999999999995</v>
      </c>
      <c r="H92" s="61">
        <f t="shared" si="74"/>
        <v>0.94599999999999995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2.0796111304347829</v>
      </c>
      <c r="E93" s="61">
        <f>BR36</f>
        <v>0</v>
      </c>
      <c r="F93" s="61">
        <f>BR37</f>
        <v>4.7097552904347824</v>
      </c>
      <c r="G93" s="61">
        <f>BR38</f>
        <v>0.70843895652173916</v>
      </c>
      <c r="H93" s="61">
        <f>BR39</f>
        <v>1.4168779130434783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7.038886956521706E-2</v>
      </c>
      <c r="E95" s="93">
        <f t="shared" ref="E95:H95" si="75">E92-E93</f>
        <v>1.075</v>
      </c>
      <c r="F95" s="93">
        <f t="shared" si="75"/>
        <v>1.6802447095652173</v>
      </c>
      <c r="G95" s="93">
        <f t="shared" si="75"/>
        <v>0.23756104347826079</v>
      </c>
      <c r="H95" s="93">
        <f t="shared" si="75"/>
        <v>-0.47087791304347837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22" sqref="B22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zoomScale="80" workbookViewId="0">
      <selection activeCell="O17" sqref="O16:Q17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0.9900000000000001</v>
      </c>
      <c r="L3" s="8">
        <f t="shared" ref="L3:L24" si="8">IF(J3=$Y$6,K3*$AA$6,IF(J3=$Y$7,K3*$AA$7,IF(J3=$Y$8,K3*$AA$8,"")))</f>
        <v>1.0890000000000002</v>
      </c>
      <c r="M3" s="10">
        <f>IF(I3=$Y$11,SQRT(L3*10000),SQRT(Parcellaire!L3*10000)/$AC$12)</f>
        <v>73.79024325749306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332.05609465871879</v>
      </c>
      <c r="U3" s="10">
        <f>IF(C3=2,Q3*M3,0)</f>
        <v>221.37072977247919</v>
      </c>
      <c r="V3" s="27">
        <f t="shared" si="6"/>
        <v>442.74145954495839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1.2100000000000002</v>
      </c>
      <c r="L6" s="8">
        <f t="shared" si="8"/>
        <v>1.3310000000000004</v>
      </c>
      <c r="M6" s="10">
        <f>IF(I6=$Y$11,SQRT(L6*10000),SQRT(Parcellaire!L6*10000)/$AC$12)</f>
        <v>81.5781833580523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367.10182511123537</v>
      </c>
      <c r="U6" s="10">
        <f t="shared" si="5"/>
        <v>244.73455007415691</v>
      </c>
      <c r="V6" s="27">
        <f t="shared" si="6"/>
        <v>489.46910014831383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1.6500000000000001</v>
      </c>
      <c r="L7" s="8">
        <f t="shared" si="8"/>
        <v>1.8150000000000004</v>
      </c>
      <c r="M7" s="10">
        <f>IF(I7=$Y$11,SQRT(L7*10000),SQRT(Parcellaire!L7*10000)/$AC$12)</f>
        <v>95.262794416288244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428.68257487329714</v>
      </c>
      <c r="U7" s="10">
        <f t="shared" si="5"/>
        <v>285.78838324886476</v>
      </c>
      <c r="V7" s="27">
        <f t="shared" si="6"/>
        <v>571.57676649772952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0</v>
      </c>
      <c r="P12" s="26"/>
      <c r="Q12" s="155">
        <v>0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8224.1835988409512</v>
      </c>
      <c r="AB18" t="s">
        <v>42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1.1000000000000001</v>
      </c>
      <c r="L19" s="8">
        <f t="shared" si="8"/>
        <v>1.2100000000000002</v>
      </c>
      <c r="M19" s="10">
        <f>IF(I19=$Y$11,SQRT(L19*10000),SQRT(Parcellaire!L19*10000)/$AC$12)</f>
        <v>77.781745930520231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350.01785668734101</v>
      </c>
      <c r="U19" s="10">
        <f t="shared" si="5"/>
        <v>233.34523779156069</v>
      </c>
      <c r="V19" s="27">
        <f t="shared" si="6"/>
        <v>466.69047558312138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4.7300000000000004</v>
      </c>
      <c r="L20" s="8">
        <f t="shared" si="8"/>
        <v>5.6760000000000002</v>
      </c>
      <c r="M20" s="10">
        <f>IF(I20=$Y$11,SQRT(L20*10000),SQRT(Parcellaire!L20*10000)/$AC$12)</f>
        <v>168.46364592991569</v>
      </c>
      <c r="N20" s="10">
        <f t="shared" si="9"/>
        <v>6</v>
      </c>
      <c r="O20" s="24">
        <v>6</v>
      </c>
      <c r="P20" s="26"/>
      <c r="Q20" s="155">
        <f t="shared" ref="Q20:Q65" si="15">O20-P20</f>
        <v>6</v>
      </c>
      <c r="R20" s="10">
        <f t="shared" si="2"/>
        <v>0</v>
      </c>
      <c r="S20" s="10">
        <f t="shared" si="3"/>
        <v>0</v>
      </c>
      <c r="T20" s="10">
        <f t="shared" si="4"/>
        <v>505.39093778974706</v>
      </c>
      <c r="U20" s="10">
        <f t="shared" si="5"/>
        <v>1010.7818755794941</v>
      </c>
      <c r="V20" s="27">
        <f t="shared" si="6"/>
        <v>1010.7818755794941</v>
      </c>
      <c r="W20" s="3"/>
      <c r="X20" s="3"/>
      <c r="Z20" s="20"/>
      <c r="AA20" s="136">
        <f>AA18+AA19</f>
        <v>8224.1835988409512</v>
      </c>
      <c r="AB20" t="s">
        <v>44</v>
      </c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7.48</v>
      </c>
      <c r="L21" s="8">
        <f t="shared" si="8"/>
        <v>8.9760000000000009</v>
      </c>
      <c r="M21" s="10">
        <f>IF(I21=$Y$11,SQRT(L21*10000),SQRT(Parcellaire!L21*10000)/$AC$12)</f>
        <v>211.84900282984577</v>
      </c>
      <c r="N21" s="10">
        <f t="shared" si="9"/>
        <v>6</v>
      </c>
      <c r="O21" s="24">
        <v>6</v>
      </c>
      <c r="P21" s="26"/>
      <c r="Q21" s="155">
        <f t="shared" si="15"/>
        <v>6</v>
      </c>
      <c r="R21" s="10">
        <f t="shared" si="2"/>
        <v>0</v>
      </c>
      <c r="S21" s="10">
        <f t="shared" si="3"/>
        <v>0</v>
      </c>
      <c r="T21" s="10">
        <f t="shared" si="4"/>
        <v>635.54700848953735</v>
      </c>
      <c r="U21" s="10">
        <f t="shared" si="5"/>
        <v>1271.0940169790747</v>
      </c>
      <c r="V21" s="27">
        <f t="shared" si="6"/>
        <v>1271.0940169790747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2.2000000000000002</v>
      </c>
      <c r="L22" s="8">
        <f t="shared" si="8"/>
        <v>2.4200000000000004</v>
      </c>
      <c r="M22" s="10">
        <f>IF(I22=$Y$11,SQRT(L22*10000),SQRT(Parcellaire!L22*10000)/$AC$12)</f>
        <v>110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2"/>
        <v>0</v>
      </c>
      <c r="S22" s="10">
        <f t="shared" si="3"/>
        <v>0</v>
      </c>
      <c r="T22" s="10">
        <f t="shared" si="4"/>
        <v>495</v>
      </c>
      <c r="U22" s="10">
        <f t="shared" si="5"/>
        <v>330</v>
      </c>
      <c r="V22" s="27">
        <f t="shared" si="6"/>
        <v>660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2.2000000000000002</v>
      </c>
      <c r="L23" s="8">
        <f t="shared" si="8"/>
        <v>2.4200000000000004</v>
      </c>
      <c r="M23" s="10">
        <f>IF(I23=$Y$11,SQRT(L23*10000),SQRT(Parcellaire!L23*10000)/$AC$12)</f>
        <v>110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2"/>
        <v>0</v>
      </c>
      <c r="S23" s="10">
        <f t="shared" si="3"/>
        <v>0</v>
      </c>
      <c r="T23" s="10">
        <f t="shared" si="4"/>
        <v>495</v>
      </c>
      <c r="U23" s="10">
        <f t="shared" si="5"/>
        <v>330</v>
      </c>
      <c r="V23" s="27">
        <f t="shared" si="6"/>
        <v>660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>
        <v>6</v>
      </c>
      <c r="P24" s="26"/>
      <c r="Q24" s="155">
        <f t="shared" si="15"/>
        <v>6</v>
      </c>
      <c r="R24" s="10">
        <f t="shared" si="2"/>
        <v>0</v>
      </c>
      <c r="S24" s="10">
        <f t="shared" si="3"/>
        <v>0</v>
      </c>
      <c r="T24" s="10" t="e">
        <f t="shared" si="4"/>
        <v>#VALUE!</v>
      </c>
      <c r="U24" s="10">
        <f t="shared" si="5"/>
        <v>0</v>
      </c>
      <c r="V24" s="27" t="e">
        <f t="shared" si="6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16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>
        <f t="shared" si="15"/>
        <v>0</v>
      </c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6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si="15"/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6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15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6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15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6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15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6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15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6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15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6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15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6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15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6"/>
        <v/>
      </c>
      <c r="L34" s="8" t="e">
        <f t="shared" ref="L34:L65" si="17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15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6"/>
        <v/>
      </c>
      <c r="L35" s="8" t="e">
        <f t="shared" si="17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15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6"/>
        <v/>
      </c>
      <c r="L36" s="8" t="e">
        <f t="shared" si="17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15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18">IF(I37=$Y$11,G37*$AB$11,IF(I37=$Y$12,G37*$AB$12,IF(I37=$Y$13,G37*$AB$13,"")))</f>
        <v/>
      </c>
      <c r="L37" s="8" t="e">
        <f t="shared" si="17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15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18"/>
        <v/>
      </c>
      <c r="L38" s="8" t="e">
        <f t="shared" si="17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15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7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15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7"/>
        <v>#VALUE!</v>
      </c>
      <c r="M40" s="10" t="e">
        <f>IF(I40=$Y$11,SQRT(L40*10000),SQRT(Parcellaire!L40*10000)/$AC$12)</f>
        <v>#VALUE!</v>
      </c>
      <c r="N40" s="10">
        <f t="shared" ref="N40:N59" si="19">IF(I40=1,4,6)</f>
        <v>6</v>
      </c>
      <c r="O40" s="24"/>
      <c r="P40" s="26"/>
      <c r="Q40" s="155">
        <f t="shared" si="15"/>
        <v>0</v>
      </c>
      <c r="R40" s="10">
        <f t="shared" ref="R40:R59" si="20">IF(C40=1,O40*M40,0)</f>
        <v>0</v>
      </c>
      <c r="S40" s="10">
        <f t="shared" ref="S40:S59" si="21">IF(C40=1,P40*M40,0)</f>
        <v>0</v>
      </c>
      <c r="T40" s="10" t="e">
        <f t="shared" si="4"/>
        <v>#VALUE!</v>
      </c>
      <c r="U40" s="10">
        <f t="shared" ref="U40:U59" si="22">IF(C40=2,Q40*M40,0)</f>
        <v>0</v>
      </c>
      <c r="V40" s="27" t="e">
        <f t="shared" ref="V40:V59" si="23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7"/>
        <v>#VALUE!</v>
      </c>
      <c r="M41" s="10" t="e">
        <f>IF(I41=$Y$11,SQRT(L41*10000),SQRT(Parcellaire!L41*10000)/$AC$12)</f>
        <v>#VALUE!</v>
      </c>
      <c r="N41" s="10">
        <f t="shared" si="19"/>
        <v>6</v>
      </c>
      <c r="O41" s="24"/>
      <c r="P41" s="26"/>
      <c r="Q41" s="155">
        <f t="shared" si="15"/>
        <v>0</v>
      </c>
      <c r="R41" s="10">
        <f t="shared" si="20"/>
        <v>0</v>
      </c>
      <c r="S41" s="10">
        <f t="shared" si="21"/>
        <v>0</v>
      </c>
      <c r="T41" s="10" t="e">
        <f t="shared" si="4"/>
        <v>#VALUE!</v>
      </c>
      <c r="U41" s="10">
        <f t="shared" si="22"/>
        <v>0</v>
      </c>
      <c r="V41" s="27" t="e">
        <f t="shared" si="23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7"/>
        <v>#VALUE!</v>
      </c>
      <c r="M42" s="10" t="e">
        <f>IF(I42=$Y$11,SQRT(L42*10000),SQRT(Parcellaire!L42*10000)/$AC$12)</f>
        <v>#VALUE!</v>
      </c>
      <c r="N42" s="10">
        <f t="shared" si="19"/>
        <v>6</v>
      </c>
      <c r="O42" s="24"/>
      <c r="P42" s="26"/>
      <c r="Q42" s="155">
        <f t="shared" si="15"/>
        <v>0</v>
      </c>
      <c r="R42" s="10">
        <f t="shared" si="20"/>
        <v>0</v>
      </c>
      <c r="S42" s="10">
        <f t="shared" si="21"/>
        <v>0</v>
      </c>
      <c r="T42" s="10" t="e">
        <f t="shared" si="4"/>
        <v>#VALUE!</v>
      </c>
      <c r="U42" s="10">
        <f t="shared" si="22"/>
        <v>0</v>
      </c>
      <c r="V42" s="27" t="e">
        <f t="shared" si="23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7"/>
        <v>#VALUE!</v>
      </c>
      <c r="M43" s="10" t="e">
        <f>IF(I43=$Y$11,SQRT(L43*10000),SQRT(Parcellaire!L43*10000)/$AC$12)</f>
        <v>#VALUE!</v>
      </c>
      <c r="N43" s="10">
        <f t="shared" si="19"/>
        <v>6</v>
      </c>
      <c r="O43" s="24"/>
      <c r="P43" s="26"/>
      <c r="Q43" s="155">
        <f t="shared" si="15"/>
        <v>0</v>
      </c>
      <c r="R43" s="10">
        <f t="shared" si="20"/>
        <v>0</v>
      </c>
      <c r="S43" s="10">
        <f t="shared" si="21"/>
        <v>0</v>
      </c>
      <c r="T43" s="10" t="e">
        <f t="shared" si="4"/>
        <v>#VALUE!</v>
      </c>
      <c r="U43" s="10">
        <f t="shared" si="22"/>
        <v>0</v>
      </c>
      <c r="V43" s="27" t="e">
        <f t="shared" si="23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7"/>
        <v>#VALUE!</v>
      </c>
      <c r="M44" s="10" t="e">
        <f>IF(I44=$Y$11,SQRT(L44*10000),SQRT(Parcellaire!L44*10000)/$AC$12)</f>
        <v>#VALUE!</v>
      </c>
      <c r="N44" s="10">
        <f t="shared" si="19"/>
        <v>6</v>
      </c>
      <c r="O44" s="24"/>
      <c r="P44" s="26"/>
      <c r="Q44" s="155">
        <f t="shared" si="15"/>
        <v>0</v>
      </c>
      <c r="R44" s="10">
        <f t="shared" si="20"/>
        <v>0</v>
      </c>
      <c r="S44" s="10">
        <f t="shared" si="21"/>
        <v>0</v>
      </c>
      <c r="T44" s="10" t="e">
        <f t="shared" si="4"/>
        <v>#VALUE!</v>
      </c>
      <c r="U44" s="10">
        <f t="shared" si="22"/>
        <v>0</v>
      </c>
      <c r="V44" s="27" t="e">
        <f t="shared" si="23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7"/>
        <v>#VALUE!</v>
      </c>
      <c r="M45" s="10" t="e">
        <f>IF(I45=$Y$11,SQRT(L45*10000),SQRT(Parcellaire!L45*10000)/$AC$12)</f>
        <v>#VALUE!</v>
      </c>
      <c r="N45" s="10">
        <f t="shared" si="19"/>
        <v>6</v>
      </c>
      <c r="O45" s="24"/>
      <c r="P45" s="26"/>
      <c r="Q45" s="155">
        <f t="shared" si="15"/>
        <v>0</v>
      </c>
      <c r="R45" s="10">
        <f t="shared" si="20"/>
        <v>0</v>
      </c>
      <c r="S45" s="10">
        <f t="shared" si="21"/>
        <v>0</v>
      </c>
      <c r="T45" s="10" t="e">
        <f t="shared" si="4"/>
        <v>#VALUE!</v>
      </c>
      <c r="U45" s="10">
        <f t="shared" si="22"/>
        <v>0</v>
      </c>
      <c r="V45" s="27" t="e">
        <f t="shared" si="23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7"/>
        <v>#VALUE!</v>
      </c>
      <c r="M46" s="10" t="e">
        <f>IF(I46=$Y$11,SQRT(L46*10000),SQRT(Parcellaire!L46*10000)/$AC$12)</f>
        <v>#VALUE!</v>
      </c>
      <c r="N46" s="10">
        <f t="shared" si="19"/>
        <v>6</v>
      </c>
      <c r="O46" s="24"/>
      <c r="P46" s="26"/>
      <c r="Q46" s="155">
        <f t="shared" si="15"/>
        <v>0</v>
      </c>
      <c r="R46" s="10">
        <f t="shared" si="20"/>
        <v>0</v>
      </c>
      <c r="S46" s="10">
        <f t="shared" si="21"/>
        <v>0</v>
      </c>
      <c r="T46" s="10" t="e">
        <f t="shared" si="4"/>
        <v>#VALUE!</v>
      </c>
      <c r="U46" s="10">
        <f t="shared" si="22"/>
        <v>0</v>
      </c>
      <c r="V46" s="27" t="e">
        <f t="shared" si="23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7"/>
        <v>#VALUE!</v>
      </c>
      <c r="M47" s="10" t="e">
        <f>IF(I47=$Y$11,SQRT(L47*10000),SQRT(Parcellaire!L47*10000)/$AC$12)</f>
        <v>#VALUE!</v>
      </c>
      <c r="N47" s="10">
        <f t="shared" si="19"/>
        <v>6</v>
      </c>
      <c r="O47" s="24"/>
      <c r="P47" s="26"/>
      <c r="Q47" s="155">
        <f t="shared" si="15"/>
        <v>0</v>
      </c>
      <c r="R47" s="10">
        <f t="shared" si="20"/>
        <v>0</v>
      </c>
      <c r="S47" s="10">
        <f t="shared" si="21"/>
        <v>0</v>
      </c>
      <c r="T47" s="10" t="e">
        <f t="shared" si="4"/>
        <v>#VALUE!</v>
      </c>
      <c r="U47" s="10">
        <f t="shared" si="22"/>
        <v>0</v>
      </c>
      <c r="V47" s="27" t="e">
        <f t="shared" si="23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7"/>
        <v>#VALUE!</v>
      </c>
      <c r="M48" s="10" t="e">
        <f>IF(I48=$Y$11,SQRT(L48*10000),SQRT(Parcellaire!L48*10000)/$AC$12)</f>
        <v>#VALUE!</v>
      </c>
      <c r="N48" s="10">
        <f t="shared" si="19"/>
        <v>6</v>
      </c>
      <c r="O48" s="24"/>
      <c r="P48" s="26"/>
      <c r="Q48" s="155">
        <f t="shared" si="15"/>
        <v>0</v>
      </c>
      <c r="R48" s="10">
        <f t="shared" si="20"/>
        <v>0</v>
      </c>
      <c r="S48" s="10">
        <f t="shared" si="21"/>
        <v>0</v>
      </c>
      <c r="T48" s="10" t="e">
        <f t="shared" si="4"/>
        <v>#VALUE!</v>
      </c>
      <c r="U48" s="10">
        <f t="shared" si="22"/>
        <v>0</v>
      </c>
      <c r="V48" s="27" t="e">
        <f t="shared" si="23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7"/>
        <v>#VALUE!</v>
      </c>
      <c r="M49" s="10" t="e">
        <f>IF(I49=$Y$11,SQRT(L49*10000),SQRT(Parcellaire!L49*10000)/$AC$12)</f>
        <v>#VALUE!</v>
      </c>
      <c r="N49" s="10">
        <f t="shared" si="19"/>
        <v>6</v>
      </c>
      <c r="O49" s="24"/>
      <c r="P49" s="26"/>
      <c r="Q49" s="155">
        <f t="shared" si="15"/>
        <v>0</v>
      </c>
      <c r="R49" s="10">
        <f t="shared" si="20"/>
        <v>0</v>
      </c>
      <c r="S49" s="10">
        <f t="shared" si="21"/>
        <v>0</v>
      </c>
      <c r="T49" s="10" t="e">
        <f t="shared" si="4"/>
        <v>#VALUE!</v>
      </c>
      <c r="U49" s="10">
        <f t="shared" si="22"/>
        <v>0</v>
      </c>
      <c r="V49" s="27" t="e">
        <f t="shared" si="23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7"/>
        <v>#VALUE!</v>
      </c>
      <c r="M50" s="10" t="e">
        <f>IF(I50=$Y$11,SQRT(L50*10000),SQRT(Parcellaire!L50*10000)/$AC$12)</f>
        <v>#VALUE!</v>
      </c>
      <c r="N50" s="10">
        <f t="shared" si="19"/>
        <v>6</v>
      </c>
      <c r="O50" s="24"/>
      <c r="P50" s="26"/>
      <c r="Q50" s="155">
        <f t="shared" si="15"/>
        <v>0</v>
      </c>
      <c r="R50" s="10">
        <f t="shared" si="20"/>
        <v>0</v>
      </c>
      <c r="S50" s="10">
        <f t="shared" si="21"/>
        <v>0</v>
      </c>
      <c r="T50" s="10" t="e">
        <f t="shared" si="4"/>
        <v>#VALUE!</v>
      </c>
      <c r="U50" s="10">
        <f t="shared" si="22"/>
        <v>0</v>
      </c>
      <c r="V50" s="27" t="e">
        <f t="shared" si="23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7"/>
        <v>#VALUE!</v>
      </c>
      <c r="M51" s="10" t="e">
        <f>IF(I51=$Y$11,SQRT(L51*10000),SQRT(Parcellaire!L51*10000)/$AC$12)</f>
        <v>#VALUE!</v>
      </c>
      <c r="N51" s="10">
        <f t="shared" si="19"/>
        <v>6</v>
      </c>
      <c r="O51" s="24"/>
      <c r="P51" s="26"/>
      <c r="Q51" s="155">
        <f t="shared" si="15"/>
        <v>0</v>
      </c>
      <c r="R51" s="10">
        <f t="shared" si="20"/>
        <v>0</v>
      </c>
      <c r="S51" s="10">
        <f t="shared" si="21"/>
        <v>0</v>
      </c>
      <c r="T51" s="10" t="e">
        <f t="shared" si="4"/>
        <v>#VALUE!</v>
      </c>
      <c r="U51" s="10">
        <f t="shared" si="22"/>
        <v>0</v>
      </c>
      <c r="V51" s="27" t="e">
        <f t="shared" si="23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7"/>
        <v>#VALUE!</v>
      </c>
      <c r="M52" s="10" t="e">
        <f>IF(I52=$Y$11,SQRT(L52*10000),SQRT(Parcellaire!L52*10000)/$AC$12)</f>
        <v>#VALUE!</v>
      </c>
      <c r="N52" s="10">
        <f t="shared" si="19"/>
        <v>6</v>
      </c>
      <c r="O52" s="24"/>
      <c r="P52" s="26"/>
      <c r="Q52" s="155">
        <f t="shared" si="15"/>
        <v>0</v>
      </c>
      <c r="R52" s="10">
        <f t="shared" si="20"/>
        <v>0</v>
      </c>
      <c r="S52" s="10">
        <f t="shared" si="21"/>
        <v>0</v>
      </c>
      <c r="T52" s="10" t="e">
        <f t="shared" si="4"/>
        <v>#VALUE!</v>
      </c>
      <c r="U52" s="10">
        <f t="shared" si="22"/>
        <v>0</v>
      </c>
      <c r="V52" s="27" t="e">
        <f t="shared" si="23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7"/>
        <v>#VALUE!</v>
      </c>
      <c r="M53" s="10" t="e">
        <f>IF(I53=$Y$11,SQRT(L53*10000),SQRT(Parcellaire!L53*10000)/$AC$12)</f>
        <v>#VALUE!</v>
      </c>
      <c r="N53" s="10">
        <f t="shared" si="19"/>
        <v>6</v>
      </c>
      <c r="O53" s="24"/>
      <c r="P53" s="26"/>
      <c r="Q53" s="155">
        <f t="shared" si="15"/>
        <v>0</v>
      </c>
      <c r="R53" s="10">
        <f t="shared" si="20"/>
        <v>0</v>
      </c>
      <c r="S53" s="10">
        <f t="shared" si="21"/>
        <v>0</v>
      </c>
      <c r="T53" s="10" t="e">
        <f t="shared" si="4"/>
        <v>#VALUE!</v>
      </c>
      <c r="U53" s="10">
        <f t="shared" si="22"/>
        <v>0</v>
      </c>
      <c r="V53" s="27" t="e">
        <f t="shared" si="23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7"/>
        <v>#VALUE!</v>
      </c>
      <c r="M54" s="10" t="e">
        <f>IF(I54=$Y$11,SQRT(L54*10000),SQRT(Parcellaire!L54*10000)/$AC$12)</f>
        <v>#VALUE!</v>
      </c>
      <c r="N54" s="10">
        <f t="shared" si="19"/>
        <v>6</v>
      </c>
      <c r="O54" s="24"/>
      <c r="P54" s="26"/>
      <c r="Q54" s="155">
        <f t="shared" si="15"/>
        <v>0</v>
      </c>
      <c r="R54" s="10">
        <f t="shared" si="20"/>
        <v>0</v>
      </c>
      <c r="S54" s="10">
        <f t="shared" si="21"/>
        <v>0</v>
      </c>
      <c r="T54" s="10" t="e">
        <f t="shared" si="4"/>
        <v>#VALUE!</v>
      </c>
      <c r="U54" s="10">
        <f t="shared" si="22"/>
        <v>0</v>
      </c>
      <c r="V54" s="27" t="e">
        <f t="shared" si="23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7"/>
        <v>#VALUE!</v>
      </c>
      <c r="M55" s="10" t="e">
        <f>IF(I55=$Y$11,SQRT(L55*10000),SQRT(Parcellaire!L55*10000)/$AC$12)</f>
        <v>#VALUE!</v>
      </c>
      <c r="N55" s="10">
        <f t="shared" si="19"/>
        <v>6</v>
      </c>
      <c r="O55" s="24"/>
      <c r="P55" s="26"/>
      <c r="Q55" s="155">
        <f t="shared" si="15"/>
        <v>0</v>
      </c>
      <c r="R55" s="10">
        <f t="shared" si="20"/>
        <v>0</v>
      </c>
      <c r="S55" s="10">
        <f t="shared" si="21"/>
        <v>0</v>
      </c>
      <c r="T55" s="10" t="e">
        <f t="shared" si="4"/>
        <v>#VALUE!</v>
      </c>
      <c r="U55" s="10">
        <f t="shared" si="22"/>
        <v>0</v>
      </c>
      <c r="V55" s="27" t="e">
        <f t="shared" si="23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7"/>
        <v>#VALUE!</v>
      </c>
      <c r="M56" s="10" t="e">
        <f>IF(I56=$Y$11,SQRT(L56*10000),SQRT(Parcellaire!L56*10000)/$AC$12)</f>
        <v>#VALUE!</v>
      </c>
      <c r="N56" s="10">
        <f t="shared" si="19"/>
        <v>6</v>
      </c>
      <c r="O56" s="24"/>
      <c r="P56" s="26"/>
      <c r="Q56" s="155">
        <f t="shared" si="15"/>
        <v>0</v>
      </c>
      <c r="R56" s="10">
        <f t="shared" si="20"/>
        <v>0</v>
      </c>
      <c r="S56" s="10">
        <f t="shared" si="21"/>
        <v>0</v>
      </c>
      <c r="T56" s="10" t="e">
        <f t="shared" si="4"/>
        <v>#VALUE!</v>
      </c>
      <c r="U56" s="10">
        <f t="shared" si="22"/>
        <v>0</v>
      </c>
      <c r="V56" s="27" t="e">
        <f t="shared" si="23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7"/>
        <v>#VALUE!</v>
      </c>
      <c r="M57" s="10" t="e">
        <f>IF(I57=$Y$11,SQRT(L57*10000),SQRT(Parcellaire!L57*10000)/$AC$12)</f>
        <v>#VALUE!</v>
      </c>
      <c r="N57" s="10">
        <f t="shared" si="19"/>
        <v>6</v>
      </c>
      <c r="O57" s="24"/>
      <c r="P57" s="26"/>
      <c r="Q57" s="155">
        <f t="shared" si="15"/>
        <v>0</v>
      </c>
      <c r="R57" s="10">
        <f t="shared" si="20"/>
        <v>0</v>
      </c>
      <c r="S57" s="10">
        <f t="shared" si="21"/>
        <v>0</v>
      </c>
      <c r="T57" s="10" t="e">
        <f t="shared" si="4"/>
        <v>#VALUE!</v>
      </c>
      <c r="U57" s="10">
        <f t="shared" si="22"/>
        <v>0</v>
      </c>
      <c r="V57" s="27" t="e">
        <f t="shared" si="23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7"/>
        <v>#VALUE!</v>
      </c>
      <c r="M58" s="10" t="e">
        <f>IF(I58=$Y$11,SQRT(L58*10000),SQRT(Parcellaire!L58*10000)/$AC$12)</f>
        <v>#VALUE!</v>
      </c>
      <c r="N58" s="10">
        <f t="shared" si="19"/>
        <v>6</v>
      </c>
      <c r="O58" s="24"/>
      <c r="P58" s="26"/>
      <c r="Q58" s="155">
        <f t="shared" si="15"/>
        <v>0</v>
      </c>
      <c r="R58" s="10">
        <f t="shared" si="20"/>
        <v>0</v>
      </c>
      <c r="S58" s="10">
        <f t="shared" si="21"/>
        <v>0</v>
      </c>
      <c r="T58" s="10" t="e">
        <f t="shared" si="4"/>
        <v>#VALUE!</v>
      </c>
      <c r="U58" s="10">
        <f t="shared" si="22"/>
        <v>0</v>
      </c>
      <c r="V58" s="27" t="e">
        <f t="shared" si="23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7"/>
        <v>#VALUE!</v>
      </c>
      <c r="M59" s="10" t="e">
        <f>IF(I59=$Y$11,SQRT(L59*10000),SQRT(Parcellaire!L59*10000)/$AC$12)</f>
        <v>#VALUE!</v>
      </c>
      <c r="N59" s="10">
        <f t="shared" si="19"/>
        <v>6</v>
      </c>
      <c r="O59" s="24"/>
      <c r="P59" s="26"/>
      <c r="Q59" s="155">
        <f t="shared" si="15"/>
        <v>0</v>
      </c>
      <c r="R59" s="10">
        <f t="shared" si="20"/>
        <v>0</v>
      </c>
      <c r="S59" s="10">
        <f t="shared" si="21"/>
        <v>0</v>
      </c>
      <c r="T59" s="10" t="e">
        <f t="shared" si="4"/>
        <v>#VALUE!</v>
      </c>
      <c r="U59" s="10">
        <f t="shared" si="22"/>
        <v>0</v>
      </c>
      <c r="V59" s="27" t="e">
        <f t="shared" si="23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7"/>
        <v>#VALUE!</v>
      </c>
      <c r="M60" s="10" t="e">
        <f>IF(I60=$Y$11,SQRT(L60*10000),SQRT(Parcellaire!L60*10000)/$AC$12)</f>
        <v>#VALUE!</v>
      </c>
      <c r="N60" s="10">
        <f t="shared" ref="N60:N65" si="24">IF(I60=1,4,6)</f>
        <v>6</v>
      </c>
      <c r="O60" s="24"/>
      <c r="P60" s="26"/>
      <c r="Q60" s="155">
        <f t="shared" si="15"/>
        <v>0</v>
      </c>
      <c r="R60" s="10">
        <f t="shared" ref="R60:R65" si="25">IF(C60=1,O60*M60,0)</f>
        <v>0</v>
      </c>
      <c r="S60" s="10">
        <f t="shared" ref="S60:S65" si="26">IF(C60=1,P60*M60,0)</f>
        <v>0</v>
      </c>
      <c r="T60" s="10" t="e">
        <f t="shared" si="4"/>
        <v>#VALUE!</v>
      </c>
      <c r="U60" s="10">
        <f t="shared" ref="U60:U65" si="27">IF(C60=2,Q60*M60,0)</f>
        <v>0</v>
      </c>
      <c r="V60" s="27" t="e">
        <f t="shared" ref="V60:V65" si="28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7"/>
        <v>#VALUE!</v>
      </c>
      <c r="M61" s="10" t="e">
        <f>IF(I61=$Y$11,SQRT(L61*10000),SQRT(Parcellaire!L61*10000)/$AC$12)</f>
        <v>#VALUE!</v>
      </c>
      <c r="N61" s="10">
        <f t="shared" si="24"/>
        <v>6</v>
      </c>
      <c r="O61" s="24"/>
      <c r="P61" s="26"/>
      <c r="Q61" s="155">
        <f t="shared" si="15"/>
        <v>0</v>
      </c>
      <c r="R61" s="10">
        <f t="shared" si="25"/>
        <v>0</v>
      </c>
      <c r="S61" s="10">
        <f t="shared" si="26"/>
        <v>0</v>
      </c>
      <c r="T61" s="10" t="e">
        <f t="shared" si="4"/>
        <v>#VALUE!</v>
      </c>
      <c r="U61" s="10">
        <f t="shared" si="27"/>
        <v>0</v>
      </c>
      <c r="V61" s="27" t="e">
        <f t="shared" si="28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7"/>
        <v>#VALUE!</v>
      </c>
      <c r="M62" s="10" t="e">
        <f>IF(I62=$Y$11,SQRT(L62*10000),SQRT(Parcellaire!L62*10000)/$AC$12)</f>
        <v>#VALUE!</v>
      </c>
      <c r="N62" s="10">
        <f t="shared" si="24"/>
        <v>6</v>
      </c>
      <c r="O62" s="24"/>
      <c r="P62" s="26"/>
      <c r="Q62" s="155">
        <f t="shared" si="15"/>
        <v>0</v>
      </c>
      <c r="R62" s="10">
        <f t="shared" si="25"/>
        <v>0</v>
      </c>
      <c r="S62" s="10">
        <f t="shared" si="26"/>
        <v>0</v>
      </c>
      <c r="T62" s="10" t="e">
        <f t="shared" si="4"/>
        <v>#VALUE!</v>
      </c>
      <c r="U62" s="10">
        <f t="shared" si="27"/>
        <v>0</v>
      </c>
      <c r="V62" s="27" t="e">
        <f t="shared" si="28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7"/>
        <v>#VALUE!</v>
      </c>
      <c r="M63" s="10" t="e">
        <f>IF(I63=$Y$11,SQRT(L63*10000),SQRT(Parcellaire!L63*10000)/$AC$12)</f>
        <v>#VALUE!</v>
      </c>
      <c r="N63" s="10">
        <f t="shared" si="24"/>
        <v>6</v>
      </c>
      <c r="O63" s="24"/>
      <c r="P63" s="26"/>
      <c r="Q63" s="155">
        <f t="shared" si="15"/>
        <v>0</v>
      </c>
      <c r="R63" s="10">
        <f t="shared" si="25"/>
        <v>0</v>
      </c>
      <c r="S63" s="10">
        <f t="shared" si="26"/>
        <v>0</v>
      </c>
      <c r="T63" s="10" t="e">
        <f t="shared" si="4"/>
        <v>#VALUE!</v>
      </c>
      <c r="U63" s="10">
        <f t="shared" si="27"/>
        <v>0</v>
      </c>
      <c r="V63" s="27" t="e">
        <f t="shared" si="28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18"/>
        <v/>
      </c>
      <c r="L64" s="8" t="e">
        <f t="shared" si="17"/>
        <v>#VALUE!</v>
      </c>
      <c r="M64" s="10" t="e">
        <f>IF(I64=$Y$11,SQRT(L64*10000),SQRT(Parcellaire!L64*10000)/$AC$12)</f>
        <v>#VALUE!</v>
      </c>
      <c r="N64" s="10">
        <f t="shared" si="24"/>
        <v>6</v>
      </c>
      <c r="O64" s="24"/>
      <c r="P64" s="26"/>
      <c r="Q64" s="155">
        <f t="shared" si="15"/>
        <v>0</v>
      </c>
      <c r="R64" s="10">
        <f t="shared" si="25"/>
        <v>0</v>
      </c>
      <c r="S64" s="10">
        <f t="shared" si="26"/>
        <v>0</v>
      </c>
      <c r="T64" s="10" t="e">
        <f t="shared" si="4"/>
        <v>#VALUE!</v>
      </c>
      <c r="U64" s="10">
        <f t="shared" si="27"/>
        <v>0</v>
      </c>
      <c r="V64" s="27" t="e">
        <f t="shared" si="28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18"/>
        <v/>
      </c>
      <c r="L65" s="8" t="e">
        <f t="shared" si="17"/>
        <v>#VALUE!</v>
      </c>
      <c r="M65" s="10" t="e">
        <f>IF(I65=$Y$11,SQRT(L65*10000),SQRT(Parcellaire!L65*10000)/$AC$12)</f>
        <v>#VALUE!</v>
      </c>
      <c r="N65" s="10">
        <f t="shared" si="24"/>
        <v>6</v>
      </c>
      <c r="O65" s="24"/>
      <c r="P65" s="26"/>
      <c r="Q65" s="155">
        <f t="shared" si="15"/>
        <v>0</v>
      </c>
      <c r="R65" s="10">
        <f t="shared" si="25"/>
        <v>0</v>
      </c>
      <c r="S65" s="10">
        <f t="shared" si="26"/>
        <v>0</v>
      </c>
      <c r="T65" s="10" t="e">
        <f t="shared" si="4"/>
        <v>#VALUE!</v>
      </c>
      <c r="U65" s="10">
        <f t="shared" si="27"/>
        <v>0</v>
      </c>
      <c r="V65" s="27" t="e">
        <f t="shared" si="28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39.1</v>
      </c>
      <c r="H66" s="170"/>
      <c r="I66" s="170">
        <f>SUMIF(Parcellaire!$B$2:$B$65,1,Parcellaire!I2:I65)</f>
        <v>54</v>
      </c>
      <c r="J66" s="170">
        <f>SUMIF(Parcellaire!$B$2:$B$65,1,Parcellaire!J2:J65)</f>
        <v>11.5</v>
      </c>
      <c r="K66" s="170">
        <f>SUMIF(Parcellaire!$B$2:$B$65,1,Parcellaire!K2:K65)</f>
        <v>42.160000000000011</v>
      </c>
      <c r="L66" s="170">
        <f>SUMIF(Parcellaire!$B$2:$B$65,1,Parcellaire!L2:L65)</f>
        <v>47.297000000000011</v>
      </c>
      <c r="M66" s="170">
        <f>SUMIF(Parcellaire!$B$2:$B$65,1,Parcellaire!M2:M65)</f>
        <v>1954.3672382179097</v>
      </c>
      <c r="N66" s="170">
        <f>SUMIF(Parcellaire!$B$2:$B$65,1,Parcellaire!N2:N65)</f>
        <v>120</v>
      </c>
      <c r="O66" s="170">
        <f>SUMIF(Parcellaire!$B$2:$B$65,1,Parcellaire!O2:O65)</f>
        <v>108</v>
      </c>
      <c r="P66" s="170">
        <f>SUMIF(Parcellaire!$B$2:$B$65,1,Parcellaire!P2:P65)</f>
        <v>0</v>
      </c>
      <c r="Q66" s="170">
        <f>SUMIF(Parcellaire!$B$2:$B$65,1,Parcellaire!Q2:Q65)</f>
        <v>60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8224.1835988409512</v>
      </c>
      <c r="U66" s="170">
        <f>SUMIF(Parcellaire!$B$2:$B$65,1,Parcellaire!U2:U65)</f>
        <v>7004.0396609330137</v>
      </c>
      <c r="V66" s="170">
        <f>SUMIF(Parcellaire!$B$2:$B$65,1,Parcellaire!V2:V65)</f>
        <v>11726.203429307458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D117:AE117"/>
    <mergeCell ref="AF117:AG117"/>
    <mergeCell ref="AH117:AI117"/>
    <mergeCell ref="AJ117:AK117"/>
    <mergeCell ref="AL117:AM117"/>
    <mergeCell ref="AX117:AY117"/>
    <mergeCell ref="AZ117:BA117"/>
    <mergeCell ref="AN117:AO117"/>
    <mergeCell ref="AP117:AQ117"/>
    <mergeCell ref="AR117:AS117"/>
    <mergeCell ref="AT117:AU117"/>
    <mergeCell ref="AV117:AW11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2023-01-09T10:08:18Z</dcterms:modified>
</cp:coreProperties>
</file>