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tabRatio="724" firstSheet="7" activeTab="12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9" r:id="rId18"/>
  </pivotCaches>
</workbook>
</file>

<file path=xl/calcChain.xml><?xml version="1.0" encoding="utf-8"?>
<calcChain xmlns="http://schemas.openxmlformats.org/spreadsheetml/2006/main">
  <c r="T38" i="31" l="1"/>
  <c r="AV5" i="29" l="1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AZ18" i="29"/>
  <c r="AV19" i="29"/>
  <c r="AW19" i="29"/>
  <c r="AX19" i="29"/>
  <c r="AY19" i="29"/>
  <c r="AZ19" i="29"/>
  <c r="AV20" i="29"/>
  <c r="AW20" i="29"/>
  <c r="BD20" i="29" s="1"/>
  <c r="BE20" i="29" s="1"/>
  <c r="BF20" i="29" s="1"/>
  <c r="BL20" i="29" s="1"/>
  <c r="AX20" i="29"/>
  <c r="AY20" i="29"/>
  <c r="AZ20" i="29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D18" i="29" l="1"/>
  <c r="BE18" i="29" s="1"/>
  <c r="BF18" i="29" s="1"/>
  <c r="BH18" i="29" s="1"/>
  <c r="BD7" i="29"/>
  <c r="BE7" i="29" s="1"/>
  <c r="BF7" i="29" s="1"/>
  <c r="BL7" i="29" s="1"/>
  <c r="BG21" i="29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K14" i="29"/>
  <c r="BJ14" i="29"/>
  <c r="BL14" i="29"/>
  <c r="BG14" i="29"/>
  <c r="BI14" i="29"/>
  <c r="BG13" i="29"/>
  <c r="BL13" i="29"/>
  <c r="BK13" i="29"/>
  <c r="BG12" i="29"/>
  <c r="BI8" i="29"/>
  <c r="BJ8" i="29"/>
  <c r="BH8" i="29"/>
  <c r="BK8" i="29"/>
  <c r="BL8" i="29"/>
  <c r="BG8" i="29"/>
  <c r="BI17" i="29"/>
  <c r="BJ17" i="29"/>
  <c r="BG17" i="29"/>
  <c r="BK17" i="29"/>
  <c r="BL17" i="29"/>
  <c r="BL5" i="29"/>
  <c r="BG5" i="29"/>
  <c r="BH5" i="29"/>
  <c r="BI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K18" i="29" l="1"/>
  <c r="BG18" i="29"/>
  <c r="BL18" i="29"/>
  <c r="BJ18" i="29"/>
  <c r="BI18" i="29"/>
  <c r="BK7" i="29"/>
  <c r="BH7" i="29"/>
  <c r="BG7" i="29"/>
  <c r="BJ7" i="29"/>
  <c r="BI7" i="29"/>
  <c r="BI19" i="29"/>
  <c r="BH19" i="29"/>
  <c r="BH11" i="29"/>
  <c r="BJ19" i="29"/>
  <c r="BK19" i="29"/>
  <c r="BG11" i="29"/>
  <c r="BL11" i="29"/>
  <c r="BI9" i="29"/>
  <c r="BG9" i="29"/>
  <c r="BG1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V100" i="33"/>
  <c r="CU100" i="33"/>
  <c r="CT100" i="33"/>
  <c r="CS100" i="33"/>
  <c r="CR100" i="33"/>
  <c r="CQ100" i="33"/>
  <c r="CP100" i="33"/>
  <c r="CO100" i="33"/>
  <c r="CN100" i="33"/>
  <c r="CM100" i="33"/>
  <c r="CL100" i="33"/>
  <c r="CK100" i="33"/>
  <c r="CJ100" i="33"/>
  <c r="CI100" i="33"/>
  <c r="CH100" i="33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S99" i="33"/>
  <c r="CR99" i="33"/>
  <c r="CQ99" i="33"/>
  <c r="CP99" i="33"/>
  <c r="CO99" i="33"/>
  <c r="CN99" i="33"/>
  <c r="CM99" i="33"/>
  <c r="CL99" i="33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O98" i="33"/>
  <c r="CN98" i="33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59" i="33" l="1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R132" i="33" l="1"/>
  <c r="T141" i="33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Q91" i="30" s="1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R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C31" i="29" s="1"/>
  <c r="K25" i="29"/>
  <c r="C25" i="29"/>
  <c r="C29" i="29" s="1"/>
  <c r="S20" i="29"/>
  <c r="C20" i="29"/>
  <c r="S4" i="29"/>
  <c r="C4" i="29"/>
  <c r="S3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Z186" i="28" l="1"/>
  <c r="T186" i="28"/>
  <c r="Y186" i="28"/>
  <c r="X186" i="28"/>
  <c r="Z186" i="31"/>
  <c r="T186" i="31"/>
  <c r="W186" i="31" s="1"/>
  <c r="Y186" i="31"/>
  <c r="X186" i="31"/>
  <c r="AA186" i="31" s="1"/>
  <c r="Y170" i="28"/>
  <c r="X170" i="28"/>
  <c r="T170" i="28"/>
  <c r="Z170" i="28"/>
  <c r="Z170" i="31"/>
  <c r="Y170" i="31"/>
  <c r="AB170" i="31" s="1"/>
  <c r="X170" i="31"/>
  <c r="T170" i="31"/>
  <c r="U170" i="31" s="1"/>
  <c r="T169" i="31"/>
  <c r="Z169" i="31"/>
  <c r="Y169" i="31"/>
  <c r="X169" i="31"/>
  <c r="T169" i="28"/>
  <c r="Z169" i="28"/>
  <c r="AC169" i="28" s="1"/>
  <c r="Y169" i="28"/>
  <c r="X169" i="28"/>
  <c r="AA169" i="28" s="1"/>
  <c r="K29" i="29"/>
  <c r="O73" i="30"/>
  <c r="S8" i="29"/>
  <c r="I220" i="33"/>
  <c r="I221" i="33" s="1"/>
  <c r="BG27" i="30"/>
  <c r="BL27" i="30"/>
  <c r="BN27" i="30"/>
  <c r="AV27" i="30"/>
  <c r="BO27" i="30"/>
  <c r="AX27" i="30"/>
  <c r="AY27" i="30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AF188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B168" i="31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C189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A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O26" i="29"/>
  <c r="O30" i="29" s="1"/>
  <c r="O25" i="29"/>
  <c r="W26" i="29"/>
  <c r="W30" i="29" s="1"/>
  <c r="W25" i="29"/>
  <c r="P5" i="29"/>
  <c r="P9" i="29" s="1"/>
  <c r="P20" i="29"/>
  <c r="P4" i="29"/>
  <c r="P3" i="29"/>
  <c r="X26" i="29"/>
  <c r="X30" i="29" s="1"/>
  <c r="X25" i="29"/>
  <c r="H5" i="29"/>
  <c r="H9" i="29" s="1"/>
  <c r="H20" i="29"/>
  <c r="H4" i="29"/>
  <c r="H3" i="29"/>
  <c r="H26" i="29"/>
  <c r="H30" i="29" s="1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Q26" i="29"/>
  <c r="Q30" i="29" s="1"/>
  <c r="Q25" i="29"/>
  <c r="Y26" i="29"/>
  <c r="Y30" i="29" s="1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30" i="29" s="1"/>
  <c r="D25" i="29"/>
  <c r="D29" i="29" s="1"/>
  <c r="L26" i="29"/>
  <c r="L30" i="29" s="1"/>
  <c r="L25" i="29"/>
  <c r="T26" i="29"/>
  <c r="T30" i="29" s="1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Y72" i="30" s="1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U26" i="29"/>
  <c r="U30" i="29" s="1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112" i="29"/>
  <c r="N112" i="29"/>
  <c r="N26" i="29"/>
  <c r="N30" i="29" s="1"/>
  <c r="N25" i="29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106" i="30" s="1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Y29" i="29" l="1"/>
  <c r="AC73" i="30"/>
  <c r="F29" i="29"/>
  <c r="J73" i="30"/>
  <c r="H29" i="29"/>
  <c r="L73" i="30"/>
  <c r="G29" i="29"/>
  <c r="K73" i="30"/>
  <c r="Z29" i="29"/>
  <c r="AD73" i="30"/>
  <c r="I29" i="29"/>
  <c r="M73" i="30"/>
  <c r="J29" i="29"/>
  <c r="N73" i="30"/>
  <c r="L29" i="29"/>
  <c r="P73" i="30"/>
  <c r="N29" i="29"/>
  <c r="R73" i="30"/>
  <c r="S29" i="29"/>
  <c r="W73" i="30"/>
  <c r="X29" i="29"/>
  <c r="AB73" i="30"/>
  <c r="O29" i="29"/>
  <c r="S73" i="30"/>
  <c r="U29" i="29"/>
  <c r="Y73" i="30"/>
  <c r="V29" i="29"/>
  <c r="Z73" i="30"/>
  <c r="P29" i="29"/>
  <c r="T73" i="30"/>
  <c r="Q29" i="29"/>
  <c r="U73" i="30"/>
  <c r="M29" i="29"/>
  <c r="Q73" i="30"/>
  <c r="R29" i="29"/>
  <c r="V73" i="30"/>
  <c r="W29" i="29"/>
  <c r="AA73" i="30"/>
  <c r="T29" i="29"/>
  <c r="X73" i="30"/>
  <c r="P72" i="30"/>
  <c r="C30" i="29"/>
  <c r="C32" i="29" s="1"/>
  <c r="C34" i="29" s="1"/>
  <c r="N72" i="30"/>
  <c r="J8" i="29"/>
  <c r="J201" i="29" s="1"/>
  <c r="N8" i="29"/>
  <c r="R72" i="30"/>
  <c r="O8" i="29"/>
  <c r="S72" i="30"/>
  <c r="K8" i="29"/>
  <c r="K201" i="29" s="1"/>
  <c r="O72" i="30"/>
  <c r="C8" i="29"/>
  <c r="C201" i="29" s="1"/>
  <c r="C212" i="29" s="1"/>
  <c r="G72" i="30"/>
  <c r="Y8" i="29"/>
  <c r="Y201" i="29" s="1"/>
  <c r="AC72" i="30"/>
  <c r="M72" i="30"/>
  <c r="I8" i="29"/>
  <c r="I201" i="29" s="1"/>
  <c r="T72" i="30"/>
  <c r="P8" i="29"/>
  <c r="I72" i="30"/>
  <c r="E8" i="29"/>
  <c r="E201" i="29" s="1"/>
  <c r="E212" i="29" s="1"/>
  <c r="T8" i="29"/>
  <c r="X72" i="30"/>
  <c r="H72" i="30"/>
  <c r="D8" i="29"/>
  <c r="D201" i="29" s="1"/>
  <c r="Z72" i="30"/>
  <c r="F8" i="29"/>
  <c r="J72" i="30"/>
  <c r="L72" i="30"/>
  <c r="H8" i="29"/>
  <c r="H201" i="29" s="1"/>
  <c r="W8" i="29"/>
  <c r="W201" i="29" s="1"/>
  <c r="AA72" i="30"/>
  <c r="G8" i="29"/>
  <c r="G201" i="29" s="1"/>
  <c r="K72" i="30"/>
  <c r="V72" i="30"/>
  <c r="R8" i="29"/>
  <c r="M8" i="29"/>
  <c r="M201" i="29" s="1"/>
  <c r="Q72" i="30"/>
  <c r="X8" i="29"/>
  <c r="X201" i="29" s="1"/>
  <c r="AB72" i="30"/>
  <c r="U72" i="30"/>
  <c r="Q8" i="29"/>
  <c r="Q201" i="29" s="1"/>
  <c r="AD72" i="30"/>
  <c r="W72" i="30"/>
  <c r="Z24" i="28"/>
  <c r="W24" i="28"/>
  <c r="X24" i="28"/>
  <c r="X34" i="28" s="1"/>
  <c r="K35" i="28" s="1"/>
  <c r="C91" i="33" s="1"/>
  <c r="AA24" i="28"/>
  <c r="AA34" i="28" s="1"/>
  <c r="K38" i="28" s="1"/>
  <c r="C94" i="33" s="1"/>
  <c r="Y24" i="28"/>
  <c r="Y34" i="28" s="1"/>
  <c r="K36" i="28" s="1"/>
  <c r="C92" i="33" s="1"/>
  <c r="D234" i="33"/>
  <c r="D182" i="33"/>
  <c r="AJ215" i="33" s="1"/>
  <c r="AN215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P201" i="29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R201" i="29"/>
  <c r="F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N201" i="29"/>
  <c r="O201" i="29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J166" i="31" l="1"/>
  <c r="AJ166" i="28"/>
  <c r="AJ170" i="28"/>
  <c r="AJ170" i="31"/>
  <c r="F73" i="30"/>
  <c r="B110" i="30" s="1"/>
  <c r="AK224" i="33"/>
  <c r="AO224" i="33" s="1"/>
  <c r="C11" i="29"/>
  <c r="C13" i="29" s="1"/>
  <c r="F72" i="30"/>
  <c r="BD84" i="30"/>
  <c r="BD81" i="30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CN85" i="30" l="1"/>
  <c r="B109" i="30"/>
  <c r="B112" i="30" s="1"/>
  <c r="C191" i="33"/>
  <c r="AZ86" i="30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AN217" i="33" s="1"/>
  <c r="C304" i="33"/>
  <c r="AA240" i="31"/>
  <c r="AB240" i="31" s="1"/>
  <c r="C310" i="33"/>
  <c r="K48" i="28"/>
  <c r="B154" i="31" s="1"/>
  <c r="B155" i="31" s="1"/>
  <c r="I155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H43" i="29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S102" i="30" s="1"/>
  <c r="X10" i="30" s="1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R64" i="33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CO71" i="33"/>
  <c r="CO82" i="33" s="1"/>
  <c r="CM68" i="33"/>
  <c r="CM79" i="33" s="1"/>
  <c r="CF67" i="33"/>
  <c r="CF78" i="33" s="1"/>
  <c r="CX65" i="33"/>
  <c r="CQ64" i="33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O65" i="33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DH68" i="33"/>
  <c r="DH79" i="33" s="1"/>
  <c r="CI72" i="33"/>
  <c r="CI84" i="33" s="1"/>
  <c r="CB68" i="33"/>
  <c r="CB79" i="33" s="1"/>
  <c r="CT66" i="33"/>
  <c r="CM65" i="33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L65" i="33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P65" i="33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BO71" i="33"/>
  <c r="BO82" i="33" s="1"/>
  <c r="AY69" i="33"/>
  <c r="AY80" i="33" s="1"/>
  <c r="BG66" i="33"/>
  <c r="CH73" i="33"/>
  <c r="CH85" i="33" s="1"/>
  <c r="CB67" i="33"/>
  <c r="CB78" i="33" s="1"/>
  <c r="CM64" i="33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L64" i="33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S64" i="33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BA69" i="33"/>
  <c r="BA80" i="33" s="1"/>
  <c r="DT72" i="33"/>
  <c r="DT84" i="33" s="1"/>
  <c r="CU66" i="33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DM71" i="33"/>
  <c r="DM82" i="33" s="1"/>
  <c r="CW71" i="33"/>
  <c r="CW82" i="33" s="1"/>
  <c r="CO68" i="33"/>
  <c r="CO79" i="33" s="1"/>
  <c r="CH67" i="33"/>
  <c r="CH78" i="33" s="1"/>
  <c r="CR65" i="33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BG64" i="33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CL75" i="33" l="1"/>
  <c r="CL151" i="33"/>
  <c r="BA76" i="33"/>
  <c r="BA152" i="33"/>
  <c r="AZ76" i="33"/>
  <c r="AZ122" i="33" s="1"/>
  <c r="AZ168" i="33" s="1"/>
  <c r="AZ152" i="33"/>
  <c r="CV77" i="33"/>
  <c r="CV123" i="33" s="1"/>
  <c r="CV169" i="33" s="1"/>
  <c r="CV153" i="33"/>
  <c r="CP77" i="33"/>
  <c r="CP153" i="33"/>
  <c r="BL75" i="33"/>
  <c r="BL151" i="33"/>
  <c r="AW76" i="33"/>
  <c r="AW122" i="33" s="1"/>
  <c r="AW168" i="33" s="1"/>
  <c r="AW152" i="33"/>
  <c r="CS76" i="33"/>
  <c r="CS122" i="33" s="1"/>
  <c r="CS168" i="33" s="1"/>
  <c r="CS152" i="33"/>
  <c r="BK75" i="33"/>
  <c r="BK151" i="33"/>
  <c r="CQ76" i="33"/>
  <c r="CQ152" i="33"/>
  <c r="AV76" i="33"/>
  <c r="AV133" i="33" s="1"/>
  <c r="AV152" i="33"/>
  <c r="CR76" i="33"/>
  <c r="CR122" i="33" s="1"/>
  <c r="CR168" i="33" s="1"/>
  <c r="CR152" i="33"/>
  <c r="BS76" i="33"/>
  <c r="BS152" i="33"/>
  <c r="CR77" i="33"/>
  <c r="CR153" i="33"/>
  <c r="BC76" i="33"/>
  <c r="BC133" i="33" s="1"/>
  <c r="BC152" i="33"/>
  <c r="AX76" i="33"/>
  <c r="AX122" i="33" s="1"/>
  <c r="AX168" i="33" s="1"/>
  <c r="AX152" i="33"/>
  <c r="CT76" i="33"/>
  <c r="CT152" i="33"/>
  <c r="CS75" i="33"/>
  <c r="CS151" i="33"/>
  <c r="CN75" i="33"/>
  <c r="CN121" i="33" s="1"/>
  <c r="CN167" i="33" s="1"/>
  <c r="CN151" i="33"/>
  <c r="BJ75" i="33"/>
  <c r="BJ121" i="33" s="1"/>
  <c r="BJ167" i="33" s="1"/>
  <c r="BJ151" i="33"/>
  <c r="CP76" i="33"/>
  <c r="CP152" i="33"/>
  <c r="CL76" i="33"/>
  <c r="CL152" i="33"/>
  <c r="BH75" i="33"/>
  <c r="BH132" i="33" s="1"/>
  <c r="BH151" i="33"/>
  <c r="CM77" i="33"/>
  <c r="CM153" i="33"/>
  <c r="CU76" i="33"/>
  <c r="CU152" i="33"/>
  <c r="BG75" i="33"/>
  <c r="BG151" i="33"/>
  <c r="CQ77" i="33"/>
  <c r="CQ123" i="33" s="1"/>
  <c r="CQ169" i="33" s="1"/>
  <c r="CQ153" i="33"/>
  <c r="CN76" i="33"/>
  <c r="CN122" i="33" s="1"/>
  <c r="CN168" i="33" s="1"/>
  <c r="CN152" i="33"/>
  <c r="CK77" i="33"/>
  <c r="CK153" i="33"/>
  <c r="CU77" i="33"/>
  <c r="CU153" i="33"/>
  <c r="BD76" i="33"/>
  <c r="BD133" i="33" s="1"/>
  <c r="BD152" i="33"/>
  <c r="CI77" i="33"/>
  <c r="CI123" i="33" s="1"/>
  <c r="CI169" i="33" s="1"/>
  <c r="CI153" i="33"/>
  <c r="BR76" i="33"/>
  <c r="BR152" i="33"/>
  <c r="CO77" i="33"/>
  <c r="CO153" i="33"/>
  <c r="CL77" i="33"/>
  <c r="CL134" i="33" s="1"/>
  <c r="CL153" i="33"/>
  <c r="CW77" i="33"/>
  <c r="CW123" i="33" s="1"/>
  <c r="CW169" i="33" s="1"/>
  <c r="CW153" i="33"/>
  <c r="CS77" i="33"/>
  <c r="CS153" i="33"/>
  <c r="CQ75" i="33"/>
  <c r="CQ151" i="33"/>
  <c r="BB76" i="33"/>
  <c r="BB133" i="33" s="1"/>
  <c r="BB152" i="33"/>
  <c r="AY76" i="33"/>
  <c r="AY122" i="33" s="1"/>
  <c r="AY168" i="33" s="1"/>
  <c r="AY152" i="33"/>
  <c r="CM75" i="33"/>
  <c r="CM151" i="33"/>
  <c r="BI75" i="33"/>
  <c r="BI151" i="33"/>
  <c r="CM76" i="33"/>
  <c r="CM122" i="33" s="1"/>
  <c r="CM168" i="33" s="1"/>
  <c r="CM152" i="33"/>
  <c r="CR75" i="33"/>
  <c r="CR151" i="33"/>
  <c r="CJ77" i="33"/>
  <c r="CJ153" i="33"/>
  <c r="BM75" i="33"/>
  <c r="BM151" i="33"/>
  <c r="CP75" i="33"/>
  <c r="CP121" i="33" s="1"/>
  <c r="CP167" i="33" s="1"/>
  <c r="CP151" i="33"/>
  <c r="CO75" i="33"/>
  <c r="CO132" i="33" s="1"/>
  <c r="CO151" i="33"/>
  <c r="BQ76" i="33"/>
  <c r="BQ152" i="33"/>
  <c r="CN77" i="33"/>
  <c r="CN153" i="33"/>
  <c r="CT77" i="33"/>
  <c r="CT134" i="33" s="1"/>
  <c r="CT153" i="33"/>
  <c r="CO76" i="33"/>
  <c r="CO122" i="33" s="1"/>
  <c r="CO168" i="33" s="1"/>
  <c r="CO152" i="33"/>
  <c r="CH77" i="33"/>
  <c r="CH153" i="33"/>
  <c r="AW78" i="33"/>
  <c r="AW154" i="33"/>
  <c r="BA78" i="33"/>
  <c r="BA135" i="33" s="1"/>
  <c r="BA154" i="33"/>
  <c r="AV78" i="33"/>
  <c r="AV124" i="33" s="1"/>
  <c r="AV170" i="33" s="1"/>
  <c r="AV154" i="33"/>
  <c r="BP78" i="33"/>
  <c r="BP135" i="33" s="1"/>
  <c r="BP154" i="33"/>
  <c r="BS78" i="33"/>
  <c r="BS154" i="33"/>
  <c r="AY78" i="33"/>
  <c r="AY135" i="33" s="1"/>
  <c r="AY154" i="33"/>
  <c r="BD78" i="33"/>
  <c r="BD124" i="33" s="1"/>
  <c r="BD170" i="33" s="1"/>
  <c r="BD154" i="33"/>
  <c r="BC78" i="33"/>
  <c r="BC124" i="33" s="1"/>
  <c r="BC170" i="33" s="1"/>
  <c r="BC154" i="33"/>
  <c r="AZ78" i="33"/>
  <c r="AZ154" i="33"/>
  <c r="BB78" i="33"/>
  <c r="BB135" i="33" s="1"/>
  <c r="BB154" i="33"/>
  <c r="BO78" i="33"/>
  <c r="BO124" i="33" s="1"/>
  <c r="BO170" i="33" s="1"/>
  <c r="BO154" i="33"/>
  <c r="BQ78" i="33"/>
  <c r="BQ154" i="33"/>
  <c r="AX78" i="33"/>
  <c r="AX154" i="33"/>
  <c r="BR78" i="33"/>
  <c r="BR124" i="33" s="1"/>
  <c r="BR170" i="33" s="1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33" i="33"/>
  <c r="EB121" i="33"/>
  <c r="EB167" i="33" s="1"/>
  <c r="EB132" i="33"/>
  <c r="BB130" i="33"/>
  <c r="BB176" i="33" s="1"/>
  <c r="BB141" i="33"/>
  <c r="CM125" i="33"/>
  <c r="CM171" i="33" s="1"/>
  <c r="CM136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L127" i="33"/>
  <c r="BL173" i="33" s="1"/>
  <c r="BL138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M127" i="33"/>
  <c r="BM173" i="33" s="1"/>
  <c r="BM138" i="33"/>
  <c r="CD152" i="33"/>
  <c r="CD76" i="33"/>
  <c r="CY151" i="33"/>
  <c r="CY75" i="33"/>
  <c r="CQ126" i="33"/>
  <c r="CQ172" i="33" s="1"/>
  <c r="CQ137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BD127" i="33"/>
  <c r="BD173" i="33" s="1"/>
  <c r="BD138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BE127" i="33"/>
  <c r="BE173" i="33" s="1"/>
  <c r="BE138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BH121" i="33"/>
  <c r="BH167" i="33" s="1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CI134" i="33" l="1"/>
  <c r="AY133" i="33"/>
  <c r="CW134" i="33"/>
  <c r="CS133" i="33"/>
  <c r="CR133" i="33"/>
  <c r="AX133" i="33"/>
  <c r="BJ132" i="33"/>
  <c r="BO135" i="33"/>
  <c r="AV135" i="33"/>
  <c r="CO121" i="33"/>
  <c r="CO167" i="33" s="1"/>
  <c r="CN133" i="33"/>
  <c r="BB124" i="33"/>
  <c r="BB170" i="33" s="1"/>
  <c r="BC122" i="33"/>
  <c r="BC168" i="33" s="1"/>
  <c r="BD122" i="33"/>
  <c r="BD168" i="33" s="1"/>
  <c r="CQ134" i="33"/>
  <c r="AY124" i="33"/>
  <c r="AY170" i="33" s="1"/>
  <c r="BB122" i="33"/>
  <c r="BB168" i="33" s="1"/>
  <c r="AV122" i="33"/>
  <c r="AV168" i="33" s="1"/>
  <c r="CM133" i="33"/>
  <c r="BJ160" i="33"/>
  <c r="BJ161" i="33" s="1"/>
  <c r="BJ162" i="33" s="1"/>
  <c r="CN132" i="33"/>
  <c r="CN143" i="33" s="1"/>
  <c r="AW133" i="33"/>
  <c r="BR135" i="33"/>
  <c r="CP132" i="33"/>
  <c r="CP142" i="33" s="1"/>
  <c r="BH160" i="33"/>
  <c r="BH161" i="33" s="1"/>
  <c r="BH162" i="33" s="1"/>
  <c r="BC135" i="33"/>
  <c r="BC160" i="33"/>
  <c r="BC161" i="33" s="1"/>
  <c r="BC162" i="33" s="1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4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3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CP144" i="33" l="1"/>
  <c r="CN142" i="33"/>
  <c r="CP145" i="33"/>
  <c r="CN145" i="33"/>
  <c r="BO76" i="33"/>
  <c r="BO152" i="33"/>
  <c r="BP76" i="33"/>
  <c r="BP122" i="33" s="1"/>
  <c r="BP168" i="33" s="1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E146" i="33" l="1"/>
  <c r="CY146" i="33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CE147" i="33"/>
  <c r="CE148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AY148" i="33" l="1"/>
  <c r="AY163" i="33" s="1"/>
  <c r="CF148" i="33"/>
  <c r="CF163" i="33" s="1"/>
  <c r="CB148" i="33"/>
  <c r="CB163" i="33" s="1"/>
  <c r="AZ147" i="33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AZ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S190" i="24"/>
  <c r="R190" i="24"/>
  <c r="Q190" i="24"/>
  <c r="M190" i="24"/>
  <c r="L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X248" i="31"/>
  <c r="J141" i="31"/>
  <c r="C219" i="33" s="1"/>
  <c r="D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62" i="24"/>
  <c r="P177" i="24"/>
  <c r="P185" i="24" s="1"/>
  <c r="P216" i="24" s="1"/>
  <c r="P190" i="24"/>
  <c r="P198" i="24" s="1"/>
  <c r="P217" i="24" s="1"/>
  <c r="AL207" i="33"/>
  <c r="D210" i="33" s="1"/>
  <c r="K175" i="24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F73" i="24"/>
  <c r="B155" i="24"/>
  <c r="S136" i="24"/>
  <c r="S149" i="24" s="1"/>
  <c r="S162" i="24" s="1"/>
  <c r="S172" i="24" s="1"/>
  <c r="S215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K172" i="24" l="1"/>
  <c r="K215" i="24" s="1"/>
  <c r="T177" i="24"/>
  <c r="T190" i="24"/>
  <c r="T198" i="24" s="1"/>
  <c r="T217" i="24" s="1"/>
  <c r="M201" i="24"/>
  <c r="M211" i="24" s="1"/>
  <c r="M218" i="24" s="1"/>
  <c r="M162" i="24"/>
  <c r="M172" i="24" s="1"/>
  <c r="M215" i="24" s="1"/>
  <c r="J177" i="24"/>
  <c r="J185" i="24" s="1"/>
  <c r="J216" i="24" s="1"/>
  <c r="J190" i="24"/>
  <c r="J198" i="24" s="1"/>
  <c r="J217" i="24" s="1"/>
  <c r="P201" i="24"/>
  <c r="P211" i="24" s="1"/>
  <c r="P218" i="24" s="1"/>
  <c r="P162" i="24"/>
  <c r="P172" i="24" s="1"/>
  <c r="P215" i="24" s="1"/>
  <c r="O201" i="24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N201" i="24"/>
  <c r="N211" i="24" s="1"/>
  <c r="N218" i="24" s="1"/>
  <c r="N162" i="24"/>
  <c r="N172" i="24" s="1"/>
  <c r="N215" i="24" s="1"/>
  <c r="R201" i="24"/>
  <c r="R211" i="24" s="1"/>
  <c r="R218" i="24" s="1"/>
  <c r="R162" i="24"/>
  <c r="R172" i="24" s="1"/>
  <c r="R215" i="24" s="1"/>
  <c r="U177" i="24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85" i="24" s="1"/>
  <c r="U216" i="24" s="1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72" i="24"/>
  <c r="J215" i="24" s="1"/>
  <c r="H172" i="24"/>
  <c r="H215" i="24" s="1"/>
  <c r="T175" i="24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T185" i="24" l="1"/>
  <c r="T216" i="24" s="1"/>
  <c r="AA221" i="24"/>
  <c r="C301" i="33" s="1"/>
  <c r="K217" i="24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9" i="24"/>
  <c r="AA211" i="24"/>
  <c r="AA172" i="24"/>
  <c r="AA146" i="25"/>
  <c r="AA147" i="25" s="1"/>
  <c r="AA159" i="25"/>
  <c r="AA146" i="24"/>
  <c r="AA147" i="24" s="1"/>
  <c r="C166" i="33" s="1"/>
  <c r="D166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220" i="24" l="1"/>
  <c r="C300" i="33" s="1"/>
  <c r="AA185" i="24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T5" i="7"/>
  <c r="BB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F84" i="30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V175" i="18" l="1"/>
  <c r="V162" i="18"/>
  <c r="O201" i="18"/>
  <c r="O211" i="18" s="1"/>
  <c r="O218" i="18" s="1"/>
  <c r="T9" i="22" s="1"/>
  <c r="O162" i="18"/>
  <c r="R201" i="18"/>
  <c r="R162" i="18"/>
  <c r="R172" i="18" s="1"/>
  <c r="R215" i="18" s="1"/>
  <c r="W5" i="22" s="1"/>
  <c r="P201" i="18"/>
  <c r="P162" i="18"/>
  <c r="P172" i="18" s="1"/>
  <c r="P215" i="18" s="1"/>
  <c r="U5" i="22" s="1"/>
  <c r="S201" i="18"/>
  <c r="S211" i="18" s="1"/>
  <c r="S218" i="18" s="1"/>
  <c r="X9" i="22" s="1"/>
  <c r="S162" i="18"/>
  <c r="S172" i="18" s="1"/>
  <c r="S215" i="18" s="1"/>
  <c r="X5" i="22" s="1"/>
  <c r="BJ15" i="23" s="1"/>
  <c r="BJ21" i="23" s="1"/>
  <c r="N201" i="18"/>
  <c r="N162" i="18"/>
  <c r="Q201" i="18"/>
  <c r="Q162" i="18"/>
  <c r="Q172" i="18" s="1"/>
  <c r="Q215" i="18" s="1"/>
  <c r="V5" i="22" s="1"/>
  <c r="M201" i="18"/>
  <c r="M162" i="18"/>
  <c r="M172" i="18" s="1"/>
  <c r="M215" i="18" s="1"/>
  <c r="R5" i="22" s="1"/>
  <c r="B167" i="31"/>
  <c r="J167" i="31" s="1"/>
  <c r="C235" i="33" s="1"/>
  <c r="C236" i="33" s="1"/>
  <c r="C192" i="33"/>
  <c r="C276" i="33" s="1"/>
  <c r="C293" i="33" s="1"/>
  <c r="D185" i="33"/>
  <c r="D183" i="33" s="1"/>
  <c r="X237" i="31"/>
  <c r="C307" i="33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O172" i="18"/>
  <c r="O215" i="18" s="1"/>
  <c r="T5" i="22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D192" i="33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90" i="33"/>
  <c r="C292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44" i="33" l="1"/>
  <c r="AB237" i="31"/>
  <c r="AC237" i="31" s="1"/>
  <c r="AF237" i="31" s="1"/>
  <c r="B178" i="31" s="1"/>
  <c r="C240" i="33" s="1"/>
  <c r="D243" i="33"/>
  <c r="D235" i="33"/>
  <c r="D236" i="33" s="1"/>
  <c r="D276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0" i="33" l="1"/>
  <c r="D292" i="33" s="1"/>
  <c r="D293" i="33"/>
  <c r="D244" i="33"/>
  <c r="C162" i="33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294" i="33" l="1"/>
  <c r="D179" i="33"/>
  <c r="D145" i="33"/>
  <c r="D155" i="33"/>
  <c r="AJ39" i="31"/>
  <c r="AJ40" i="31" s="1"/>
  <c r="AE40" i="31" s="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C241" i="33" s="1"/>
  <c r="D157" i="33"/>
  <c r="C174" i="33"/>
  <c r="D174" i="33" s="1"/>
  <c r="D173" i="33"/>
  <c r="D241" i="33"/>
  <c r="D242" i="33" s="1"/>
  <c r="D238" i="33"/>
  <c r="B180" i="31"/>
  <c r="B181" i="31" s="1"/>
  <c r="B175" i="31"/>
  <c r="C238" i="33" l="1"/>
  <c r="C242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<sst xmlns="http://schemas.openxmlformats.org/spreadsheetml/2006/main" count="3090" uniqueCount="1465">
  <si>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</si>
  <si>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</si>
  <si>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</si>
  <si>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</si>
  <si>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</si>
  <si>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</si>
  <si>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</si>
  <si>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</si>
  <si>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</si>
  <si>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</si>
  <si>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</si>
  <si>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</si>
  <si>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</si>
  <si>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</si>
  <si>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</si>
  <si>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</si>
  <si>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</si>
  <si>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</si>
  <si>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</si>
  <si>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</si>
  <si>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</si>
  <si>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</si>
  <si>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</si>
  <si>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</si>
  <si>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</si>
  <si>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</si>
  <si>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</si>
  <si>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</si>
  <si>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</si>
  <si>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</si>
  <si>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</si>
  <si>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</si>
  <si>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</si>
  <si>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</si>
  <si>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</si>
  <si>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</si>
  <si>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</si>
  <si>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</si>
  <si>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</si>
  <si>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</si>
  <si>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</si>
  <si>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</si>
  <si>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</si>
  <si>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</si>
  <si>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</si>
  <si>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</si>
  <si>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</si>
  <si>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</si>
  <si>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</si>
  <si>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</si>
  <si>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</si>
  <si>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</si>
  <si>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</si>
  <si>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</si>
  <si>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</si>
  <si>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</si>
  <si>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</si>
  <si>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</si>
  <si>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</si>
  <si>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</si>
  <si>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</si>
  <si>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</si>
  <si>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</si>
  <si>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</si>
  <si>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</si>
  <si>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</si>
  <si>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</si>
  <si>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</si>
  <si>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</si>
  <si>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</si>
  <si>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</si>
  <si>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</si>
  <si>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</si>
  <si>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</si>
  <si>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</si>
  <si>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</si>
  <si>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</si>
  <si>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</si>
  <si>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</si>
  <si>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</si>
  <si>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</si>
  <si>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</si>
  <si>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</si>
  <si>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</si>
  <si>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</si>
  <si>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</si>
  <si>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</si>
  <si>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</si>
  <si>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</si>
  <si>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</si>
  <si>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</si>
  <si>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</si>
  <si>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</si>
  <si>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</si>
  <si>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</si>
  <si>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</si>
  <si>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</si>
  <si>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</si>
  <si>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</si>
  <si>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</si>
  <si>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</si>
  <si>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</si>
  <si>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</si>
  <si>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</si>
  <si>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</si>
  <si>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</si>
  <si>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</si>
  <si>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</si>
  <si>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</si>
  <si>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</si>
  <si>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</si>
  <si>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</si>
  <si>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</si>
  <si>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</si>
  <si>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</si>
  <si>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</si>
  <si>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</si>
  <si>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</si>
  <si>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</si>
  <si>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</si>
  <si>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</si>
  <si>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</si>
  <si>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</si>
  <si>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</si>
  <si>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</si>
  <si>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</si>
  <si>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</si>
  <si>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</si>
  <si>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</si>
  <si>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</si>
  <si>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</si>
  <si>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</si>
  <si>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</si>
  <si>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</si>
  <si>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</si>
  <si>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</si>
  <si>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</si>
  <si>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</si>
  <si>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</si>
  <si>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</si>
  <si>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</si>
  <si>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</si>
  <si>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</si>
  <si>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</si>
  <si>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</si>
  <si>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</si>
  <si>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</si>
  <si>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</si>
  <si>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</si>
  <si>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</si>
  <si>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</si>
  <si>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</si>
  <si>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</si>
  <si>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</si>
  <si>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</si>
  <si>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</si>
  <si>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</si>
  <si>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</si>
  <si>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</si>
  <si>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</si>
  <si>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</si>
  <si>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</si>
  <si>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</si>
  <si>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</si>
  <si>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</si>
  <si>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</si>
  <si>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</si>
  <si>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</si>
  <si>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</si>
  <si>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</si>
  <si>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</si>
  <si>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</si>
  <si>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</si>
  <si>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</si>
  <si>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</si>
  <si>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</si>
  <si>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</si>
  <si>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</si>
  <si>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</si>
  <si>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</si>
  <si>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</si>
  <si>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</si>
  <si>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</si>
  <si>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</si>
  <si>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</si>
  <si>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</si>
  <si>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</si>
  <si>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</si>
  <si>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</si>
  <si>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</si>
  <si>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</si>
  <si>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</si>
  <si>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</si>
  <si>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</si>
  <si>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</si>
  <si>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</si>
  <si>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</si>
  <si>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</si>
  <si>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</si>
  <si>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</si>
  <si>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</si>
  <si>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</si>
  <si>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</si>
  <si>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</si>
  <si>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</si>
  <si>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</si>
  <si>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</si>
  <si>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</si>
  <si>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</si>
  <si>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</si>
  <si>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</si>
  <si>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</si>
  <si>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</si>
  <si>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</si>
  <si>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</si>
  <si>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</si>
  <si>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</si>
  <si>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</si>
  <si>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</si>
  <si>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</si>
  <si>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</si>
  <si>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</si>
  <si>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</si>
  <si>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</si>
  <si>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</si>
  <si>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</si>
  <si>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</si>
  <si>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</si>
  <si>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</si>
  <si>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</si>
  <si>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</si>
  <si>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</si>
  <si>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</si>
  <si>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</si>
  <si>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</si>
  <si>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</si>
  <si>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</si>
  <si>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</si>
  <si>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</si>
  <si>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</si>
  <si>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</si>
  <si>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</si>
  <si>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</si>
  <si>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</si>
  <si>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</si>
  <si>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</si>
  <si>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</si>
  <si>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</si>
  <si>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</si>
  <si>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</si>
  <si>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</si>
  <si>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</si>
  <si>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</si>
  <si>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</si>
  <si>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</si>
  <si>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</si>
  <si>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</si>
  <si>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</si>
  <si>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</si>
  <si>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</si>
  <si>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</si>
  <si>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</si>
  <si>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</si>
  <si>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</si>
  <si>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</si>
  <si>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</si>
  <si>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</si>
  <si>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</si>
  <si>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</si>
  <si>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</si>
  <si>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</si>
  <si>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</si>
  <si>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</si>
  <si>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</si>
  <si>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</si>
  <si>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</si>
  <si>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</si>
  <si>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</si>
  <si>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</si>
  <si>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</si>
  <si>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</si>
  <si>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</si>
  <si>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</si>
  <si>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</si>
  <si>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</si>
  <si>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</si>
  <si>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</si>
  <si>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</si>
  <si>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</si>
  <si>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</si>
  <si>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</si>
  <si>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</si>
  <si>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</si>
  <si>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</si>
  <si>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</si>
  <si>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</si>
  <si>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</si>
  <si>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</si>
  <si>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</si>
  <si>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</si>
  <si>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</si>
  <si>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</si>
  <si>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</si>
  <si>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</si>
  <si>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</si>
  <si>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</si>
  <si>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</si>
  <si>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</si>
  <si>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</si>
  <si>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</si>
  <si>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</si>
  <si>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</si>
  <si>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</si>
  <si>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</si>
  <si>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</si>
  <si>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</si>
  <si>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</si>
  <si>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</si>
  <si>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</si>
  <si>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</si>
  <si>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</si>
  <si>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</si>
  <si>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</si>
  <si>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</si>
  <si>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</si>
  <si>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</si>
  <si>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</si>
  <si>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</si>
  <si>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</si>
  <si>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</si>
  <si>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</si>
  <si>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</si>
  <si>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</si>
  <si>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</si>
  <si>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</si>
  <si>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</si>
  <si>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</si>
  <si>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</si>
  <si>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</si>
  <si>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</si>
  <si>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</si>
  <si>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</si>
  <si>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</si>
  <si>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</si>
  <si>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</si>
  <si>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</si>
  <si>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</si>
  <si>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</si>
  <si>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</si>
  <si>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</si>
  <si>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</si>
  <si>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</si>
  <si>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</si>
  <si>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</si>
  <si>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</si>
  <si>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</si>
  <si>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</si>
  <si>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</si>
  <si>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</si>
  <si>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</si>
  <si>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</si>
  <si>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</si>
  <si>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</si>
  <si>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</si>
  <si>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</si>
  <si>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</si>
  <si>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</si>
  <si>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</si>
  <si>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</si>
  <si>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</si>
  <si>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</si>
  <si>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</si>
  <si>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</si>
  <si>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</si>
  <si>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</si>
  <si>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</si>
  <si>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</si>
  <si>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</si>
  <si>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</si>
  <si>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</si>
  <si>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</si>
  <si>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</si>
  <si>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</si>
  <si>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</si>
  <si>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</si>
  <si>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</si>
  <si>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</si>
  <si>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</si>
  <si>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</si>
  <si>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</si>
  <si>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</si>
  <si>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</si>
  <si>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</si>
  <si>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</si>
  <si>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</si>
  <si>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</si>
  <si>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</si>
  <si>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</si>
  <si>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</si>
  <si>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</si>
  <si>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</si>
  <si>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</si>
  <si>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</si>
  <si>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</si>
  <si>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</si>
  <si>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</si>
  <si>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</si>
  <si>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</si>
  <si>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</si>
  <si>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</si>
  <si>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</si>
  <si>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</si>
  <si>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</si>
  <si>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</si>
  <si>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</si>
  <si>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</si>
  <si>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</si>
  <si>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</si>
  <si>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</si>
  <si>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</si>
  <si>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</si>
  <si>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</si>
  <si>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</si>
  <si>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</si>
  <si>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</si>
  <si>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</si>
  <si>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</si>
  <si>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</si>
  <si>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</si>
  <si>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</si>
  <si>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</si>
  <si>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</si>
  <si>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</si>
  <si>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</si>
  <si>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</si>
  <si>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</si>
  <si>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</si>
  <si>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</si>
  <si>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</si>
  <si>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</si>
  <si>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</si>
  <si>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</si>
  <si>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</si>
  <si>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</si>
  <si>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</si>
  <si>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</si>
  <si>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</si>
  <si>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</si>
  <si>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</si>
  <si>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</si>
  <si>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</si>
  <si>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</si>
  <si>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</si>
  <si>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</si>
  <si>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</si>
  <si>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</si>
  <si>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</si>
  <si>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</si>
  <si>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</si>
  <si>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</si>
  <si>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</si>
  <si>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</si>
  <si>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</si>
  <si>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</si>
  <si>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</si>
  <si>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</si>
  <si>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</si>
  <si>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</si>
  <si>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</si>
  <si>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</si>
  <si>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</si>
  <si>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</si>
  <si>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</si>
  <si>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</si>
  <si>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</si>
  <si>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</si>
  <si>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</si>
  <si>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</si>
  <si>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</si>
  <si>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</si>
  <si>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</si>
  <si>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</si>
  <si>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</si>
  <si>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</si>
  <si>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</si>
  <si>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</si>
  <si>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</si>
  <si>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</si>
  <si>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</si>
  <si>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</si>
  <si>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</si>
  <si>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</si>
  <si>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</si>
  <si>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</si>
  <si>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</si>
  <si>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</si>
  <si>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</si>
  <si>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</si>
  <si>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</si>
  <si>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</si>
  <si>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</si>
  <si>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</si>
  <si>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</si>
  <si>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</si>
  <si>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</si>
  <si>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</si>
  <si>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</si>
  <si>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</si>
  <si>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</si>
  <si>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</si>
  <si>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</si>
  <si>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</si>
  <si>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</si>
  <si>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</si>
  <si>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</si>
  <si>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</si>
  <si>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</si>
  <si>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</si>
  <si>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</si>
  <si>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</si>
  <si>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</si>
  <si>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</si>
  <si>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</si>
  <si>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</si>
  <si>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</si>
  <si>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</si>
  <si>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</si>
  <si>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</si>
  <si>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</si>
  <si>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</si>
  <si>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</si>
  <si>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</si>
  <si>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</si>
  <si>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</si>
  <si>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</si>
  <si>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</si>
  <si>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</si>
  <si>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</si>
  <si>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</si>
  <si>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</si>
  <si>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</si>
  <si>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</si>
  <si>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</si>
  <si>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</si>
  <si>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</si>
  <si>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</si>
  <si>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</si>
  <si>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</si>
  <si>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</si>
  <si>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</si>
  <si>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</si>
  <si>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</si>
  <si>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</si>
  <si>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</si>
  <si>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</si>
  <si>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</si>
  <si>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</si>
  <si>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</si>
  <si>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</si>
  <si>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</si>
  <si>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</si>
  <si>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</si>
  <si>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</si>
  <si>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</si>
  <si>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</si>
  <si>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</si>
  <si>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</si>
  <si>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</si>
  <si>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</si>
  <si>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</si>
  <si>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</si>
  <si>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</si>
  <si>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</si>
  <si>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</si>
  <si>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</si>
  <si>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</si>
  <si>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</si>
  <si>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</si>
  <si>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</si>
  <si>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</si>
  <si>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</si>
  <si>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</si>
  <si>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</si>
  <si>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</si>
  <si>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</si>
  <si>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</si>
  <si>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</si>
  <si>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</si>
  <si>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</si>
  <si>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</si>
  <si>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</si>
  <si>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</si>
  <si>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</si>
  <si>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</si>
  <si>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</si>
  <si>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</si>
  <si>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</si>
  <si>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</si>
  <si>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</si>
  <si>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</si>
  <si>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</si>
  <si>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</si>
  <si>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</si>
  <si>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</si>
  <si>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</si>
  <si>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</si>
  <si>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</si>
  <si>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</si>
  <si>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</si>
  <si>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</si>
  <si>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</si>
  <si>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</si>
  <si>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</si>
  <si>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</si>
  <si>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</si>
  <si>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</si>
  <si>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</si>
  <si>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</si>
  <si>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</si>
  <si>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</si>
  <si>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</si>
  <si>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</si>
  <si>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</si>
  <si>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</si>
  <si>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</si>
  <si>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</si>
  <si>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</si>
  <si>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</si>
  <si>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</si>
  <si>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</si>
  <si>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</si>
  <si>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</si>
  <si>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</si>
  <si>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</si>
  <si>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</si>
  <si>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</si>
  <si>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</si>
  <si>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</si>
  <si>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</si>
  <si>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</si>
  <si>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</si>
  <si>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</si>
  <si>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</si>
  <si>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</si>
  <si>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</si>
  <si>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</si>
  <si>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</si>
  <si>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</si>
  <si>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</si>
  <si>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</si>
  <si>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</si>
  <si>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</si>
  <si>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</si>
  <si>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</si>
  <si>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</si>
  <si>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</si>
  <si>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</si>
  <si>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</si>
  <si>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</si>
  <si>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</si>
  <si>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</si>
  <si>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</si>
  <si>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</si>
  <si>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</si>
  <si>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</si>
  <si>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</si>
  <si>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</si>
  <si>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</si>
  <si>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</si>
  <si>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</si>
  <si>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</si>
  <si>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</si>
  <si>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</si>
  <si>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</si>
  <si>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</si>
  <si>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</si>
  <si>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</si>
  <si>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</si>
  <si>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</si>
  <si>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</si>
  <si>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</si>
  <si>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</si>
  <si>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</si>
  <si>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</si>
  <si>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</si>
  <si>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</si>
  <si>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</si>
  <si>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</si>
  <si>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</si>
  <si>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</si>
  <si>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</si>
  <si>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</si>
  <si>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</si>
  <si>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</si>
  <si>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</si>
  <si>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</si>
  <si>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</si>
  <si>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</si>
  <si>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</si>
  <si>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</si>
  <si>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</si>
  <si>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</si>
  <si>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</si>
  <si>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</si>
  <si>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</si>
  <si>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</si>
  <si>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</si>
  <si>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</si>
  <si>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</si>
  <si>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</si>
  <si>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</si>
  <si>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</si>
  <si>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</si>
  <si>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</si>
  <si>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</si>
  <si>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</si>
  <si>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</si>
  <si>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</si>
  <si>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</si>
  <si>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</si>
  <si>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</si>
  <si>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</si>
  <si>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</si>
  <si>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</si>
  <si>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</si>
  <si>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</si>
  <si>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</si>
  <si>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</si>
  <si>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</si>
  <si>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</si>
  <si>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</si>
  <si>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</si>
  <si>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</si>
  <si>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</si>
  <si>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</si>
  <si>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</si>
  <si>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</si>
  <si>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</si>
  <si>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</si>
  <si>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</si>
  <si>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</si>
  <si>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</si>
  <si>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</si>
  <si>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</si>
  <si>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</si>
  <si>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</si>
  <si>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</si>
  <si>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</si>
  <si>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</si>
  <si>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</si>
  <si>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</si>
  <si>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</si>
  <si>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</si>
  <si>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</si>
  <si>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</si>
  <si>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</si>
  <si>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</si>
  <si>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</si>
  <si>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</si>
  <si>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</si>
  <si>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</si>
  <si>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</si>
  <si>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</si>
  <si>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</si>
  <si>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</si>
  <si>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</si>
  <si>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</si>
  <si>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</si>
  <si>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</si>
  <si>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</si>
  <si>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</si>
  <si>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</si>
  <si>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</si>
  <si>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</si>
  <si>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</si>
  <si>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</si>
  <si>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</si>
  <si>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</si>
  <si>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</si>
  <si>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</si>
  <si>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</si>
  <si>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</si>
  <si>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</si>
  <si>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</si>
  <si>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</si>
  <si>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</si>
  <si>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</si>
  <si>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</si>
  <si>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</si>
  <si>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</si>
  <si>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</si>
  <si>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</si>
  <si>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</si>
  <si>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</si>
  <si>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</si>
  <si>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</si>
  <si>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</si>
  <si>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</si>
  <si>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</si>
  <si>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</si>
  <si>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</si>
  <si>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</si>
  <si>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</si>
  <si>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</si>
  <si>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</si>
  <si>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</si>
  <si>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</si>
  <si>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</si>
  <si>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</si>
  <si>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</si>
  <si>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</si>
  <si>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</si>
  <si>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</si>
  <si>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</si>
  <si>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</si>
  <si>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</si>
  <si>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</si>
  <si>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</si>
  <si>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</si>
  <si>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</si>
  <si>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</si>
  <si>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</si>
  <si>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</si>
  <si>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</si>
  <si>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</si>
  <si>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</si>
  <si>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</si>
  <si>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</si>
  <si>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</si>
  <si>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</si>
  <si>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</si>
  <si>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</si>
  <si>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</si>
  <si>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</si>
  <si>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</si>
  <si>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</si>
  <si>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</si>
  <si>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</si>
  <si>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</si>
  <si>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</si>
  <si>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</si>
  <si>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</si>
  <si>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</si>
  <si>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</si>
  <si>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</si>
  <si>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</si>
  <si>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</si>
  <si>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</si>
  <si>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</si>
  <si>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</si>
  <si>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</si>
  <si>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</si>
  <si>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</si>
  <si>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</si>
  <si>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</si>
  <si>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</si>
  <si>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</si>
  <si>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</si>
  <si>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</si>
  <si>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</si>
  <si>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</si>
  <si>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</si>
  <si>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</si>
  <si>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</si>
  <si>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</si>
  <si>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</si>
  <si>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</si>
  <si>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</si>
  <si>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</si>
  <si>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</si>
  <si>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</si>
  <si>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</si>
  <si>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</si>
  <si>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</si>
  <si>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</si>
  <si>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</si>
  <si>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</si>
  <si>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</si>
  <si>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</si>
  <si>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</si>
  <si>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</si>
  <si>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</si>
  <si>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</si>
  <si>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</si>
  <si>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</si>
  <si>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</si>
  <si>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</si>
  <si>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</si>
  <si>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</si>
  <si>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</si>
  <si>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</si>
  <si>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</si>
  <si>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</si>
  <si>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</si>
  <si>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</si>
  <si>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</si>
  <si>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</si>
  <si>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</si>
  <si>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</si>
  <si>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</si>
  <si>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</si>
  <si>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</si>
  <si>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</si>
  <si>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</si>
  <si>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</si>
  <si>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</si>
  <si>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</si>
  <si>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</si>
  <si>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</si>
  <si>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</si>
  <si>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</si>
  <si>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</si>
  <si>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</si>
  <si>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</si>
  <si>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</si>
  <si>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</si>
  <si>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</si>
  <si>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</si>
  <si>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</si>
  <si>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</si>
  <si>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</si>
  <si>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</si>
  <si>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</si>
  <si>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</si>
  <si>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</si>
  <si>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</si>
  <si>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</si>
  <si>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</si>
  <si>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</si>
  <si>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</si>
  <si>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</si>
  <si>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</si>
  <si>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</si>
  <si>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</si>
  <si>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</si>
  <si>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</si>
  <si>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</si>
  <si>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</si>
  <si>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</si>
  <si>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</si>
  <si>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</si>
  <si>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</si>
  <si>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</si>
  <si>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</si>
  <si>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</si>
  <si>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</si>
  <si>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</si>
  <si>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</si>
  <si>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</si>
  <si>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</si>
  <si>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</si>
  <si>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</si>
  <si>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</si>
  <si>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</si>
  <si>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</si>
  <si>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</si>
  <si>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</si>
  <si>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</si>
  <si>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</si>
  <si>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</si>
  <si>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</si>
  <si>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</si>
  <si>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</si>
  <si>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</si>
  <si>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</si>
  <si>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</si>
  <si>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</si>
  <si>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</si>
  <si>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</si>
  <si>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</si>
  <si>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</si>
  <si>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</si>
  <si>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</si>
  <si>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</si>
  <si>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</si>
  <si>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</si>
  <si>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</si>
  <si>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</si>
  <si>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</si>
  <si>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</si>
  <si>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</si>
  <si>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</si>
  <si>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</si>
  <si>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</si>
  <si>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</si>
  <si>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</si>
  <si>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</si>
  <si>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</si>
  <si>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</si>
  <si>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</si>
  <si>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</si>
  <si>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</si>
  <si>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</si>
  <si>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</si>
  <si>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</si>
  <si>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</si>
  <si>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</si>
  <si>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</si>
  <si>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</si>
  <si>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</si>
  <si>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</si>
  <si>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</si>
  <si>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</si>
  <si>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</si>
  <si>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</si>
  <si>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</si>
  <si>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</si>
  <si>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</si>
  <si>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</si>
  <si>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</si>
  <si>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</si>
  <si>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</si>
  <si>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</si>
  <si>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</si>
  <si>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</si>
  <si>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</si>
  <si>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</si>
  <si>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</si>
  <si>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</si>
  <si>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</si>
  <si>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</si>
  <si>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</si>
  <si>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</si>
  <si>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</si>
  <si>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</si>
  <si>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</si>
  <si>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</si>
  <si>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</si>
  <si>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</si>
  <si>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</si>
  <si>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</si>
  <si>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</si>
  <si>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</si>
  <si>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</si>
  <si>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</si>
  <si>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</si>
  <si>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</si>
  <si>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</si>
  <si>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</si>
  <si>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</si>
  <si>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</si>
  <si>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</si>
  <si>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</si>
  <si>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</si>
  <si>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</si>
  <si>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</si>
  <si>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</si>
  <si>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</si>
  <si>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</si>
  <si>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</si>
  <si>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</si>
  <si>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</si>
  <si>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</si>
  <si>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</si>
  <si>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</si>
  <si>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</si>
  <si>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</si>
  <si>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</si>
  <si>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</si>
  <si>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</si>
  <si>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</si>
  <si>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</si>
  <si>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</si>
  <si>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</si>
  <si>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</si>
  <si>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</si>
  <si>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</si>
  <si>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</si>
  <si>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</si>
  <si>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</si>
  <si>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</si>
  <si>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</si>
  <si>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</si>
  <si>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</si>
  <si>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</si>
  <si>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</si>
  <si>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</si>
  <si>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</si>
  <si>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</si>
  <si>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</si>
  <si>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</si>
  <si>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</si>
  <si>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</si>
  <si>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</si>
  <si>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</si>
  <si>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</si>
  <si>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</si>
  <si>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</si>
  <si>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</si>
  <si>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</si>
  <si>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</si>
  <si>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</si>
  <si>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</si>
  <si>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</si>
  <si>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</si>
  <si>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</si>
  <si>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</si>
  <si>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</si>
  <si>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</si>
  <si>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</si>
  <si>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</si>
  <si>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</si>
  <si>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</si>
  <si>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</si>
  <si>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</si>
  <si>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</si>
  <si>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</si>
  <si>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</si>
  <si>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</si>
  <si>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</si>
  <si>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</si>
  <si>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</si>
  <si>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</si>
  <si>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</si>
  <si>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</si>
  <si>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</si>
  <si>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</si>
  <si>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</si>
  <si>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</si>
  <si>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</si>
  <si>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</si>
  <si>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</si>
  <si>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</si>
  <si>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</si>
  <si>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</si>
  <si>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</si>
  <si>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</si>
  <si>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</si>
  <si>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</si>
  <si>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</si>
  <si>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</si>
  <si>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</si>
  <si>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</si>
  <si>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</si>
  <si>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</si>
  <si>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</si>
  <si>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</si>
  <si>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</si>
  <si>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</si>
  <si>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</si>
  <si>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</si>
  <si>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</si>
  <si>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</si>
  <si>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</si>
  <si>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</si>
  <si>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</si>
  <si>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</si>
  <si>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</si>
  <si>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</si>
  <si>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</si>
  <si>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</si>
  <si>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</si>
  <si>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</si>
  <si>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</si>
  <si>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</si>
  <si>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</si>
  <si>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</si>
  <si>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</si>
  <si>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</si>
  <si>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</si>
  <si>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</si>
  <si>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</si>
  <si>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</si>
  <si>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</si>
  <si>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</si>
  <si>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</si>
  <si>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</si>
  <si>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</si>
  <si>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</si>
  <si>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</si>
  <si>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</si>
  <si>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</si>
  <si>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</si>
  <si>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</si>
  <si>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</si>
  <si>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</si>
  <si>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</si>
  <si>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</si>
  <si>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</si>
  <si>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</si>
  <si>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</si>
  <si>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</si>
  <si>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</si>
  <si>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</si>
  <si>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</si>
  <si>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</si>
  <si>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</si>
  <si>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</si>
  <si>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</si>
  <si>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</si>
  <si>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</si>
  <si>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</si>
  <si>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</si>
  <si>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</si>
  <si>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</si>
  <si>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</si>
  <si>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</si>
  <si>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</si>
  <si>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</si>
  <si>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</si>
  <si>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</si>
  <si>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</si>
  <si>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</si>
  <si>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</si>
  <si>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</si>
  <si>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</si>
  <si>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</si>
  <si>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</si>
  <si>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</si>
  <si>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</si>
  <si>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</si>
  <si>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</si>
  <si>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</si>
  <si>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</si>
  <si>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</si>
  <si>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</si>
  <si>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</si>
  <si>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</si>
  <si>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</si>
  <si>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</si>
  <si>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</si>
  <si>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</si>
  <si>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</si>
  <si>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</si>
  <si>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</si>
  <si>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</si>
  <si>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</si>
  <si>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</si>
  <si>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</si>
  <si>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</si>
  <si>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</si>
  <si>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</si>
  <si>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</si>
  <si>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</si>
  <si>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</si>
  <si>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</si>
  <si>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</si>
  <si>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</si>
  <si>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</si>
  <si>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</si>
  <si>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</si>
  <si>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</si>
  <si>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</si>
  <si>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</si>
  <si>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</si>
  <si>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</si>
  <si>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</si>
  <si>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</si>
  <si>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</si>
  <si>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</si>
  <si>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</si>
  <si>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</si>
  <si>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</si>
  <si>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</si>
  <si>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</si>
  <si>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</si>
  <si>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</si>
  <si>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</si>
  <si>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</si>
  <si>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</si>
  <si>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</si>
  <si>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</si>
  <si>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</si>
  <si>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</si>
  <si>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</si>
  <si>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</si>
  <si>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</si>
  <si>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</si>
  <si>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</si>
  <si>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</si>
  <si>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</si>
  <si>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</si>
  <si>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</si>
  <si>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</si>
  <si>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</si>
  <si>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</si>
  <si>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</si>
  <si>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</si>
  <si>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</si>
  <si>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</si>
  <si>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</si>
  <si>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</si>
  <si>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</si>
  <si>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</si>
  <si>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</si>
  <si>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</si>
  <si>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</si>
  <si>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</si>
  <si>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</si>
  <si>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</si>
  <si>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</si>
  <si>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</si>
  <si>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</si>
  <si>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</si>
  <si>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</si>
  <si>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</si>
  <si>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</si>
  <si>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</si>
  <si>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</si>
  <si>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</si>
  <si>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</si>
  <si>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</si>
  <si>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</si>
  <si>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</si>
  <si>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</si>
  <si>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</si>
  <si>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</si>
  <si>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</si>
  <si>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</si>
  <si>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</si>
  <si>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</si>
  <si>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</si>
  <si>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</si>
  <si>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</si>
  <si>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</si>
  <si>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</si>
  <si>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</si>
  <si>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</si>
  <si>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</si>
  <si>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</si>
  <si>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</si>
  <si>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</si>
  <si>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</si>
  <si>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</si>
  <si>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</si>
  <si>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</si>
  <si>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</si>
  <si>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</si>
  <si>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</si>
  <si>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</si>
  <si>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</si>
  <si>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</si>
  <si>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</si>
  <si>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</si>
  <si>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</si>
  <si>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</si>
  <si>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</si>
  <si>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</si>
  <si>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</si>
  <si>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</si>
  <si>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</si>
  <si>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</si>
  <si>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</si>
  <si>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</si>
  <si>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</si>
  <si>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</si>
  <si>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</si>
  <si>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</si>
  <si>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</si>
  <si>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</si>
  <si>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</si>
  <si>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</si>
  <si>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</si>
  <si>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</si>
  <si>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</si>
  <si>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</si>
  <si>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</si>
  <si>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</si>
  <si>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</si>
  <si>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</si>
  <si>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</si>
  <si>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</si>
  <si>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</si>
  <si>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</si>
  <si>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</si>
  <si>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</si>
  <si>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</si>
  <si>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</si>
  <si>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</si>
  <si>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</si>
  <si>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</si>
  <si>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</si>
  <si>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</si>
  <si>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</si>
  <si>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</si>
  <si>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</si>
  <si>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</si>
  <si>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</si>
  <si>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</si>
  <si>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</si>
  <si>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</si>
  <si>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</si>
  <si>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</si>
  <si>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</si>
  <si>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</si>
  <si>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</si>
  <si>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</si>
  <si>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</si>
  <si>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</si>
  <si>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</si>
  <si>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</si>
  <si>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</si>
  <si>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</si>
  <si>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</si>
  <si>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</si>
  <si>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</si>
  <si>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</si>
  <si>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</si>
  <si>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</si>
  <si>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</si>
  <si>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</si>
  <si>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</si>
  <si>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</si>
  <si>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</si>
  <si>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</si>
  <si>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</si>
  <si>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</si>
  <si>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</si>
  <si>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</si>
  <si>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</si>
  <si>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</si>
  <si>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</si>
  <si>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</si>
  <si>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</si>
  <si>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</si>
  <si>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</si>
  <si>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</si>
  <si>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</si>
  <si>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</si>
  <si>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</si>
  <si>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</si>
  <si>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</si>
  <si>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</si>
  <si>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</si>
  <si>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</si>
  <si>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</si>
  <si>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</si>
  <si>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</si>
  <si>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</si>
  <si>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</si>
  <si>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</si>
  <si>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</si>
  <si>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</si>
  <si>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</si>
  <si>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</si>
  <si>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</si>
  <si>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</si>
  <si>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</si>
  <si>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</si>
  <si>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</si>
  <si>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</si>
  <si>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</si>
  <si>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</si>
  <si>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</si>
  <si>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</si>
  <si>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</si>
  <si>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</si>
  <si>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</si>
  <si>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</si>
  <si>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</si>
  <si>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</si>
  <si>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</si>
  <si>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</si>
  <si>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</si>
  <si>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</si>
  <si>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</si>
  <si>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</si>
  <si>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</si>
  <si>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</si>
  <si>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</si>
  <si>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</si>
  <si>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</si>
  <si>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</si>
  <si>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choix moyen de protection sur ESTIVE pour OL</t>
  </si>
  <si>
    <t>Z1_OLBV_T3_Ms5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</si>
</sst>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44.555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342.69041729100491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</v>
      </c>
      <c r="H5" s="142">
        <f>CdTrp1!C215+CdTrp2!C215+CdTrp3!C215+CdTrp4!C215</f>
        <v>0</v>
      </c>
      <c r="I5" s="142">
        <f>CdTrp1!D215+CdTrp2!D215+CdTrp3!D215+CdTrp4!D215</f>
        <v>0</v>
      </c>
      <c r="J5" s="142">
        <f>CdTrp1!E215+CdTrp2!E215+CdTrp3!E215+CdTrp4!E215</f>
        <v>0</v>
      </c>
      <c r="K5" s="142">
        <f>CdTrp1!F215+CdTrp2!F215+CdTrp3!F215+CdTrp4!F215</f>
        <v>0</v>
      </c>
      <c r="L5" s="142">
        <f>CdTrp1!G215+CdTrp2!G215+CdTrp3!G215+CdTrp4!G215</f>
        <v>0</v>
      </c>
      <c r="M5" s="142">
        <f>CdTrp1!H215+CdTrp2!H215+CdTrp3!H215+CdTrp4!H215</f>
        <v>0</v>
      </c>
      <c r="N5" s="142">
        <f>CdTrp1!I215+CdTrp2!I215+CdTrp3!I215+CdTrp4!I215</f>
        <v>0</v>
      </c>
      <c r="O5" s="142">
        <f>CdTrp1!J215+CdTrp2!J215+CdTrp3!J215+CdTrp4!J215</f>
        <v>0</v>
      </c>
      <c r="P5" s="142">
        <f>CdTrp1!K215+CdTrp2!K215+CdTrp3!K215+CdTrp4!K215</f>
        <v>0</v>
      </c>
      <c r="Q5" s="142">
        <f>CdTrp1!L215+CdTrp2!L215+CdTrp3!L215+CdTrp4!L215</f>
        <v>0</v>
      </c>
      <c r="R5" s="142">
        <f>CdTrp1!M215+CdTrp2!M215+CdTrp3!M215+CdTrp4!M215</f>
        <v>0</v>
      </c>
      <c r="S5" s="142">
        <f>CdTrp1!N215+CdTrp2!N215+CdTrp3!N215+CdTrp4!N215</f>
        <v>0</v>
      </c>
      <c r="T5" s="142">
        <f>CdTrp1!O215+CdTrp2!O215+CdTrp3!O215+CdTrp4!O215</f>
        <v>0</v>
      </c>
      <c r="U5" s="142">
        <f>CdTrp1!P215+CdTrp2!P215+CdTrp3!P215+CdTrp4!P215</f>
        <v>0</v>
      </c>
      <c r="V5" s="142">
        <f>CdTrp1!Q215+CdTrp2!Q215+CdTrp3!Q215+CdTrp4!Q215</f>
        <v>0</v>
      </c>
      <c r="W5" s="142">
        <f>CdTrp1!R215+CdTrp2!R215+CdTrp3!R215+CdTrp4!R215</f>
        <v>0</v>
      </c>
      <c r="X5" s="142">
        <f>CdTrp1!S215+CdTrp2!S215+CdTrp3!S215+CdTrp4!S215</f>
        <v>0</v>
      </c>
      <c r="Y5" s="142">
        <f>CdTrp1!T215+CdTrp2!T215+CdTrp3!T215+CdTrp4!T215</f>
        <v>0</v>
      </c>
      <c r="Z5" s="142">
        <f>CdTrp1!U215+CdTrp2!U215+CdTrp3!U215+CdTrp4!U215</f>
        <v>0</v>
      </c>
      <c r="AA5" s="142">
        <f>CdTrp1!V215+CdTrp2!V215+CdTrp3!V215+CdTrp4!V215</f>
        <v>0</v>
      </c>
      <c r="AB5" s="142">
        <f>CdTrp1!W215+CdTrp2!W215+CdTrp3!W215+CdTrp4!W215</f>
        <v>0</v>
      </c>
      <c r="AC5" s="142">
        <f>CdTrp1!X215+CdTrp2!X215+CdTrp3!X215+CdTrp4!X215</f>
        <v>0</v>
      </c>
      <c r="AD5" s="142">
        <f>CdTrp1!Y215+CdTrp2!Y215+CdTrp3!Y215+CdTrp4!Y215</f>
        <v>0</v>
      </c>
      <c r="AE5" s="152"/>
      <c r="AF5" s="143">
        <f>AF8+AF9</f>
        <v>0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</v>
      </c>
      <c r="H6" s="142">
        <f>CdTrp1!C216+CdTrp2!C216+CdTrp3!C216+CdTrp4!C216</f>
        <v>0</v>
      </c>
      <c r="I6" s="142">
        <f>CdTrp1!D216+CdTrp2!D216+CdTrp3!D216+CdTrp4!D216</f>
        <v>0</v>
      </c>
      <c r="J6" s="142">
        <f>CdTrp1!E216+CdTrp2!E216+CdTrp3!E216+CdTrp4!E216</f>
        <v>0</v>
      </c>
      <c r="K6" s="142">
        <f>CdTrp1!F216+CdTrp2!F216+CdTrp3!F216+CdTrp4!F216</f>
        <v>0</v>
      </c>
      <c r="L6" s="142">
        <f>CdTrp1!G216+CdTrp2!G216+CdTrp3!G216+CdTrp4!G216</f>
        <v>0</v>
      </c>
      <c r="M6" s="142">
        <f>CdTrp1!H216+CdTrp2!H216+CdTrp3!H216+CdTrp4!H216</f>
        <v>0</v>
      </c>
      <c r="N6" s="142">
        <f>CdTrp1!I216+CdTrp2!I216+CdTrp3!I216+CdTrp4!I216</f>
        <v>0</v>
      </c>
      <c r="O6" s="142">
        <f>CdTrp1!J216+CdTrp2!J216+CdTrp3!J216+CdTrp4!J216</f>
        <v>0</v>
      </c>
      <c r="P6" s="142">
        <f>CdTrp1!K216+CdTrp2!K216+CdTrp3!K216+CdTrp4!K216</f>
        <v>0</v>
      </c>
      <c r="Q6" s="142">
        <f>CdTrp1!L216+CdTrp2!L216+CdTrp3!L216+CdTrp4!L216</f>
        <v>0</v>
      </c>
      <c r="R6" s="142">
        <f>CdTrp1!M216+CdTrp2!M216+CdTrp3!M216+CdTrp4!M216</f>
        <v>0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0</v>
      </c>
      <c r="V6" s="142">
        <f>CdTrp1!Q216+CdTrp2!Q216+CdTrp3!Q216+CdTrp4!Q216</f>
        <v>0</v>
      </c>
      <c r="W6" s="142">
        <f>CdTrp1!R216+CdTrp2!R216+CdTrp3!R216+CdTrp4!R216</f>
        <v>0</v>
      </c>
      <c r="X6" s="142">
        <f>CdTrp1!S216+CdTrp2!S216+CdTrp3!S216+CdTrp4!S216</f>
        <v>0</v>
      </c>
      <c r="Y6" s="142">
        <f>CdTrp1!T216+CdTrp2!T216+CdTrp3!T216+CdTrp4!T216</f>
        <v>0</v>
      </c>
      <c r="Z6" s="142">
        <f>CdTrp1!U216+CdTrp2!U216+CdTrp3!U216+CdTrp4!U216</f>
        <v>0</v>
      </c>
      <c r="AA6" s="142">
        <f>CdTrp1!V216+CdTrp2!V216+CdTrp3!V216+CdTrp4!V216</f>
        <v>0</v>
      </c>
      <c r="AB6" s="142">
        <f>CdTrp1!W216+CdTrp2!W216+CdTrp3!W216+CdTrp4!W216</f>
        <v>0</v>
      </c>
      <c r="AC6" s="142">
        <f>CdTrp1!X216+CdTrp2!X216+CdTrp3!X216+CdTrp4!X216</f>
        <v>0</v>
      </c>
      <c r="AD6" s="142">
        <f>CdTrp1!Y216+CdTrp2!Y216+CdTrp3!Y216+CdTrp4!Y216</f>
        <v>0</v>
      </c>
      <c r="AE6" s="152"/>
      <c r="AF6" s="153"/>
    </row>
    <row r="7" spans="1:53" x14ac:dyDescent="0.25">
      <c r="B7" s="14" t="s">
        <v>294</v>
      </c>
      <c r="C7" s="143">
        <f>ROUNDUP(C4-C6-0.9*C5,1)</f>
        <v>342.70000000000005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</v>
      </c>
      <c r="L7" s="142">
        <f>CdTrp1!G217+CdTrp2!G217+CdTrp3!G217+CdTrp4!G217</f>
        <v>0</v>
      </c>
      <c r="M7" s="142">
        <f>CdTrp1!H217+CdTrp2!H217+CdTrp3!H217+CdTrp4!H217</f>
        <v>0</v>
      </c>
      <c r="N7" s="142">
        <f>CdTrp1!I217+CdTrp2!I217+CdTrp3!I217+CdTrp4!I217</f>
        <v>0</v>
      </c>
      <c r="O7" s="142">
        <f>CdTrp1!J217+CdTrp2!J217+CdTrp3!J217+CdTrp4!J217</f>
        <v>0</v>
      </c>
      <c r="P7" s="142">
        <f>CdTrp1!K217+CdTrp2!K217+CdTrp3!K217+CdTrp4!K217</f>
        <v>0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0</v>
      </c>
      <c r="T7" s="142">
        <f>CdTrp1!O217+CdTrp2!O217+CdTrp3!O217+CdTrp4!O217</f>
        <v>0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0</v>
      </c>
      <c r="AA7" s="142">
        <f>CdTrp1!V217+CdTrp2!V217+CdTrp3!V217+CdTrp4!V217</f>
        <v>0</v>
      </c>
      <c r="AB7" s="142">
        <f>CdTrp1!W217+CdTrp2!W217+CdTrp3!W217+CdTrp4!W217</f>
        <v>0</v>
      </c>
      <c r="AC7" s="142">
        <f>CdTrp1!X217+CdTrp2!X217+CdTrp3!X217+CdTrp4!X217</f>
        <v>0</v>
      </c>
      <c r="AD7" s="142">
        <f>CdTrp1!Y217+CdTrp2!Y217+CdTrp3!Y217+CdTrp4!Y217</f>
        <v>0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</v>
      </c>
      <c r="H8" s="142">
        <f t="shared" ref="H8:AD8" si="0">SUM(H5:H7)</f>
        <v>0</v>
      </c>
      <c r="I8" s="142">
        <f t="shared" si="0"/>
        <v>0</v>
      </c>
      <c r="J8" s="142">
        <f t="shared" si="0"/>
        <v>0</v>
      </c>
      <c r="K8" s="142">
        <f t="shared" si="0"/>
        <v>0</v>
      </c>
      <c r="L8" s="142">
        <f t="shared" si="0"/>
        <v>0</v>
      </c>
      <c r="M8" s="142">
        <f t="shared" si="0"/>
        <v>0</v>
      </c>
      <c r="N8" s="142">
        <f t="shared" si="0"/>
        <v>0</v>
      </c>
      <c r="O8" s="142">
        <f t="shared" si="0"/>
        <v>0</v>
      </c>
      <c r="P8" s="142">
        <f t="shared" si="0"/>
        <v>0</v>
      </c>
      <c r="Q8" s="142">
        <f t="shared" si="0"/>
        <v>0</v>
      </c>
      <c r="R8" s="142">
        <f t="shared" si="0"/>
        <v>0</v>
      </c>
      <c r="S8" s="142">
        <f t="shared" si="0"/>
        <v>0</v>
      </c>
      <c r="T8" s="142">
        <f t="shared" si="0"/>
        <v>0</v>
      </c>
      <c r="U8" s="142">
        <f t="shared" si="0"/>
        <v>0</v>
      </c>
      <c r="V8" s="142">
        <f t="shared" si="0"/>
        <v>0</v>
      </c>
      <c r="W8" s="142">
        <f t="shared" si="0"/>
        <v>0</v>
      </c>
      <c r="X8" s="142">
        <f t="shared" si="0"/>
        <v>0</v>
      </c>
      <c r="Y8" s="142">
        <f t="shared" si="0"/>
        <v>0</v>
      </c>
      <c r="Z8" s="142">
        <f t="shared" si="0"/>
        <v>0</v>
      </c>
      <c r="AA8" s="142">
        <f t="shared" si="0"/>
        <v>0</v>
      </c>
      <c r="AB8" s="142">
        <f t="shared" si="0"/>
        <v>0</v>
      </c>
      <c r="AC8" s="142">
        <f t="shared" si="0"/>
        <v>0</v>
      </c>
      <c r="AD8" s="142">
        <f t="shared" si="0"/>
        <v>0</v>
      </c>
      <c r="AE8" s="152"/>
      <c r="AF8" s="143">
        <f>SUM(G8:AD8)</f>
        <v>0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0</v>
      </c>
      <c r="S9" s="142">
        <f>CdTrp1!N218+CdTrp2!N218+CdTrp3!N218+CdTrp4!N218</f>
        <v>0</v>
      </c>
      <c r="T9" s="142">
        <f>CdTrp1!O218+CdTrp2!O218+CdTrp3!O218+CdTrp4!O218</f>
        <v>0</v>
      </c>
      <c r="U9" s="142">
        <f>CdTrp1!P218+CdTrp2!P218+CdTrp3!P218+CdTrp4!P218</f>
        <v>0</v>
      </c>
      <c r="V9" s="142">
        <f>CdTrp1!Q218+CdTrp2!Q218+CdTrp3!Q218+CdTrp4!Q218</f>
        <v>0</v>
      </c>
      <c r="W9" s="142">
        <f>CdTrp1!R218+CdTrp2!R218+CdTrp3!R218+CdTrp4!R218</f>
        <v>0</v>
      </c>
      <c r="X9" s="142">
        <f>CdTrp1!S218+CdTrp2!S218+CdTrp3!S218+CdTrp4!S218</f>
        <v>0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0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0</v>
      </c>
      <c r="H18" s="157" t="e">
        <f>G18/G17</f>
        <v>#DIV/0!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0</v>
      </c>
      <c r="H19" s="157" t="e">
        <f>G19/G17</f>
        <v>#DIV/0!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0</v>
      </c>
      <c r="H20" s="157" t="e">
        <f>G20/G17</f>
        <v>#DIV/0!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 t="e">
        <f>G21/G17</f>
        <v>#DIV/0!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abSelected="1" topLeftCell="A19" zoomScale="90" zoomScaleNormal="90" workbookViewId="0">
      <selection activeCell="E35" sqref="E35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5" t="s">
        <v>250</v>
      </c>
      <c r="AT2" s="295"/>
      <c r="AU2" s="294" t="s">
        <v>251</v>
      </c>
      <c r="AV2" s="294"/>
      <c r="AW2" s="294" t="s">
        <v>252</v>
      </c>
      <c r="AX2" s="294"/>
      <c r="AY2" s="294" t="s">
        <v>253</v>
      </c>
      <c r="AZ2" s="294"/>
      <c r="BA2" s="294" t="s">
        <v>254</v>
      </c>
      <c r="BB2" s="294"/>
      <c r="BC2" s="294" t="s">
        <v>255</v>
      </c>
      <c r="BD2" s="294"/>
      <c r="BE2" s="294" t="s">
        <v>256</v>
      </c>
      <c r="BF2" s="294"/>
      <c r="BG2" s="294" t="s">
        <v>257</v>
      </c>
      <c r="BH2" s="294"/>
      <c r="BI2" s="294" t="s">
        <v>258</v>
      </c>
      <c r="BJ2" s="294"/>
      <c r="BK2" s="294" t="s">
        <v>259</v>
      </c>
      <c r="BL2" s="294"/>
      <c r="BM2" s="294" t="s">
        <v>260</v>
      </c>
      <c r="BN2" s="294"/>
      <c r="BO2" s="294" t="s">
        <v>261</v>
      </c>
      <c r="BP2" s="294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0</v>
      </c>
      <c r="AY5" s="13">
        <f>'Conduite Trp'!M8</f>
        <v>0</v>
      </c>
      <c r="AZ5" s="13">
        <f>'Conduite Trp'!N8</f>
        <v>0</v>
      </c>
      <c r="BA5" s="13">
        <f>'Conduite Trp'!O8</f>
        <v>0</v>
      </c>
      <c r="BB5" s="13">
        <f>'Conduite Trp'!P8</f>
        <v>0</v>
      </c>
      <c r="BC5" s="13">
        <f>'Conduite Trp'!Q8</f>
        <v>0</v>
      </c>
      <c r="BD5" s="13">
        <f>'Conduite Trp'!R8</f>
        <v>0</v>
      </c>
      <c r="BE5" s="13">
        <f>'Conduite Trp'!S8</f>
        <v>0</v>
      </c>
      <c r="BF5" s="13">
        <f>'Conduite Trp'!T8</f>
        <v>0</v>
      </c>
      <c r="BG5" s="13">
        <f>'Conduite Trp'!U8</f>
        <v>0</v>
      </c>
      <c r="BH5" s="13">
        <f>'Conduite Trp'!V8</f>
        <v>0</v>
      </c>
      <c r="BI5" s="13">
        <f>'Conduite Trp'!W8</f>
        <v>0</v>
      </c>
      <c r="BJ5" s="13">
        <f>'Conduite Trp'!X8</f>
        <v>0</v>
      </c>
      <c r="BK5" s="13">
        <f>'Conduite Trp'!Y8</f>
        <v>0</v>
      </c>
      <c r="BL5" s="13">
        <f>'Conduite Trp'!Z8</f>
        <v>0</v>
      </c>
      <c r="BM5" s="13">
        <f>'Conduite Trp'!AA8</f>
        <v>0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/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0</v>
      </c>
      <c r="AF7" s="60">
        <f t="shared" ref="AF7:AF26" si="1">$R7*W7</f>
        <v>0</v>
      </c>
      <c r="AG7" s="60">
        <f t="shared" ref="AG7:AG26" si="2">$R7*X7</f>
        <v>0</v>
      </c>
      <c r="AH7" s="60">
        <f t="shared" ref="AH7:AH26" si="3">$R7*Y7</f>
        <v>0</v>
      </c>
      <c r="AI7" s="60">
        <f t="shared" ref="AI7:AI26" si="4">$R7*Z7</f>
        <v>0</v>
      </c>
      <c r="AJ7" s="60">
        <f t="shared" ref="AJ7:AJ26" si="5">$R7*AA7</f>
        <v>0</v>
      </c>
      <c r="AK7" s="140"/>
      <c r="AL7" s="60">
        <f t="shared" ref="AL7:AL26" si="6">R7*AC7</f>
        <v>0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0</v>
      </c>
      <c r="AZ7" s="60">
        <f t="shared" si="7"/>
        <v>0</v>
      </c>
      <c r="BA7" s="60">
        <f t="shared" si="7"/>
        <v>0</v>
      </c>
      <c r="BB7" s="60">
        <f t="shared" si="7"/>
        <v>0</v>
      </c>
      <c r="BC7" s="60">
        <f t="shared" si="7"/>
        <v>0</v>
      </c>
      <c r="BD7" s="60">
        <f t="shared" si="7"/>
        <v>0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0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44.555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/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0</v>
      </c>
      <c r="AG8" s="60">
        <f t="shared" si="2"/>
        <v>0</v>
      </c>
      <c r="AH8" s="60">
        <f t="shared" si="3"/>
        <v>0</v>
      </c>
      <c r="AI8" s="60">
        <f t="shared" si="4"/>
        <v>0</v>
      </c>
      <c r="AJ8" s="60">
        <f t="shared" si="5"/>
        <v>0</v>
      </c>
      <c r="AK8" s="140"/>
      <c r="AL8" s="60">
        <f t="shared" si="6"/>
        <v>0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0</v>
      </c>
      <c r="BF8" s="60">
        <f t="shared" si="8"/>
        <v>0</v>
      </c>
      <c r="BG8" s="60">
        <f t="shared" si="8"/>
        <v>0</v>
      </c>
      <c r="BH8" s="60">
        <f t="shared" si="8"/>
        <v>0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0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44.555</v>
      </c>
      <c r="G9" s="80"/>
      <c r="H9" s="60">
        <f>SUM(L34:L43)</f>
        <v>21.299999999999997</v>
      </c>
      <c r="I9" s="80"/>
      <c r="J9" s="80"/>
      <c r="K9" s="92">
        <f>H9-F9</f>
        <v>-23.255000000000003</v>
      </c>
      <c r="L9" s="80"/>
      <c r="M9" s="99"/>
      <c r="P9">
        <v>3</v>
      </c>
      <c r="Q9" s="39">
        <v>294</v>
      </c>
      <c r="R9" s="39">
        <v>3.5</v>
      </c>
      <c r="S9" s="287" t="str">
        <f>VLOOKUP($Q9,[1]MEP!$A$5:$D$300,3)</f>
        <v>PP EXCELLENTE 2 COUPES</v>
      </c>
      <c r="T9" s="75" t="str">
        <f>VLOOKUP($Q9,[1]MEP!$A$5:$D$300,4)</f>
        <v>zone 1</v>
      </c>
      <c r="U9" s="75" t="str">
        <f>VLOOKUP($Q9,[1]MEP!$A$4:$K$300,2)</f>
        <v>F</v>
      </c>
      <c r="V9" s="75">
        <f>VLOOKUP($Q9,[1]MEP!$A$4:$K$300,5)</f>
        <v>0</v>
      </c>
      <c r="W9" s="75">
        <f>VLOOKUP($Q9,[1]MEP!$A$4:$K$300,6)</f>
        <v>0</v>
      </c>
      <c r="X9" s="75">
        <f>VLOOKUP($Q9,[1]MEP!$A$4:$K$300,7)</f>
        <v>0</v>
      </c>
      <c r="Y9" s="75">
        <f>VLOOKUP($Q9,[1]MEP!$A$4:$K$300,8)</f>
        <v>0</v>
      </c>
      <c r="Z9" s="75">
        <f>VLOOKUP($Q9,[1]MEP!$A$4:$K$300,9)</f>
        <v>0</v>
      </c>
      <c r="AA9" s="75">
        <f>VLOOKUP($Q9,[1]MEP!$A$4:$K$300,10)</f>
        <v>0</v>
      </c>
      <c r="AC9" s="75">
        <f>VLOOKUP($Q9,[1]MEP!$A$4:$K$300,11)</f>
        <v>8</v>
      </c>
      <c r="AE9" s="60">
        <f t="shared" si="0"/>
        <v>0</v>
      </c>
      <c r="AF9" s="60">
        <f t="shared" si="1"/>
        <v>0</v>
      </c>
      <c r="AG9" s="60">
        <f t="shared" si="2"/>
        <v>0</v>
      </c>
      <c r="AH9" s="60">
        <f t="shared" si="3"/>
        <v>0</v>
      </c>
      <c r="AI9" s="60">
        <f t="shared" si="4"/>
        <v>0</v>
      </c>
      <c r="AJ9" s="60">
        <f t="shared" si="5"/>
        <v>0</v>
      </c>
      <c r="AK9" s="140"/>
      <c r="AL9" s="60">
        <f t="shared" si="6"/>
        <v>28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0</v>
      </c>
      <c r="BJ9" s="60">
        <f t="shared" si="10"/>
        <v>0</v>
      </c>
      <c r="BK9" s="60">
        <f t="shared" si="10"/>
        <v>0</v>
      </c>
      <c r="BL9" s="60">
        <f t="shared" si="10"/>
        <v>0</v>
      </c>
      <c r="BM9" s="60">
        <f t="shared" si="10"/>
        <v>0</v>
      </c>
      <c r="BN9" s="60">
        <f t="shared" si="10"/>
        <v>0</v>
      </c>
      <c r="BO9" s="60">
        <f t="shared" si="10"/>
        <v>0</v>
      </c>
      <c r="BP9" s="60">
        <f t="shared" si="10"/>
        <v>0</v>
      </c>
      <c r="BR9" s="60">
        <f t="shared" si="9"/>
        <v>0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/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0</v>
      </c>
      <c r="AF10" s="60">
        <f t="shared" si="1"/>
        <v>0</v>
      </c>
      <c r="AG10" s="60">
        <f t="shared" si="2"/>
        <v>0</v>
      </c>
      <c r="AH10" s="60">
        <f t="shared" si="3"/>
        <v>0</v>
      </c>
      <c r="AI10" s="60">
        <f t="shared" si="4"/>
        <v>0</v>
      </c>
      <c r="AJ10" s="60">
        <f t="shared" si="5"/>
        <v>0</v>
      </c>
      <c r="AK10" s="140"/>
      <c r="AL10" s="60">
        <f t="shared" si="6"/>
        <v>0</v>
      </c>
      <c r="AQ10" s="32"/>
      <c r="AR10" s="69">
        <v>4</v>
      </c>
      <c r="AS10" s="60">
        <f>IF(AS$4=4,AS$5,0)</f>
        <v>0</v>
      </c>
      <c r="AT10" s="60">
        <f t="shared" ref="AT10:BP10" si="11">IF(AT$4=4,AT$5,0)</f>
        <v>0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</v>
      </c>
      <c r="BP10" s="60">
        <f t="shared" si="11"/>
        <v>0</v>
      </c>
      <c r="BR10" s="60">
        <f t="shared" si="9"/>
        <v>0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274</v>
      </c>
      <c r="R11" s="39">
        <v>7.6</v>
      </c>
      <c r="S11" s="287" t="str">
        <f>VLOOKUP($Q11,[1]MEP!$A$5:$D$300,3)</f>
        <v>PP BONNE 3 COUPES ENRUB</v>
      </c>
      <c r="T11" s="75" t="str">
        <f>VLOOKUP($Q11,[1]MEP!$A$5:$D$300,4)</f>
        <v>zone 1</v>
      </c>
      <c r="U11" s="75" t="str">
        <f>VLOOKUP($Q11,[1]MEP!$A$4:$K$300,2)</f>
        <v>F</v>
      </c>
      <c r="V11" s="75">
        <f>VLOOKUP($Q11,[1]MEP!$A$4:$K$300,5)</f>
        <v>0</v>
      </c>
      <c r="W11" s="75">
        <f>VLOOKUP($Q11,[1]MEP!$A$4:$K$300,6)</f>
        <v>0</v>
      </c>
      <c r="X11" s="75">
        <f>VLOOKUP($Q11,[1]MEP!$A$4:$K$300,7)</f>
        <v>0</v>
      </c>
      <c r="Y11" s="75">
        <f>VLOOKUP($Q11,[1]MEP!$A$4:$K$300,8)</f>
        <v>0</v>
      </c>
      <c r="Z11" s="75">
        <f>VLOOKUP($Q11,[1]MEP!$A$4:$K$300,9)</f>
        <v>0</v>
      </c>
      <c r="AA11" s="75">
        <f>VLOOKUP($Q11,[1]MEP!$A$4:$K$300,10)</f>
        <v>0</v>
      </c>
      <c r="AC11" s="75">
        <f>VLOOKUP($Q11,[1]MEP!$A$4:$K$300,11)</f>
        <v>6.8</v>
      </c>
      <c r="AE11" s="60">
        <f t="shared" si="0"/>
        <v>0</v>
      </c>
      <c r="AF11" s="60">
        <f t="shared" si="1"/>
        <v>0</v>
      </c>
      <c r="AG11" s="60">
        <f t="shared" si="2"/>
        <v>0</v>
      </c>
      <c r="AH11" s="60">
        <f t="shared" si="3"/>
        <v>0</v>
      </c>
      <c r="AI11" s="60">
        <f t="shared" si="4"/>
        <v>0</v>
      </c>
      <c r="AJ11" s="60">
        <f t="shared" si="5"/>
        <v>0</v>
      </c>
      <c r="AK11" s="140"/>
      <c r="AL11" s="60">
        <f t="shared" si="6"/>
        <v>51.68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</v>
      </c>
      <c r="AV11" s="60">
        <f t="shared" si="12"/>
        <v>0</v>
      </c>
      <c r="AW11" s="60">
        <f t="shared" si="12"/>
        <v>0</v>
      </c>
      <c r="AX11" s="60">
        <f t="shared" si="12"/>
        <v>0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0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>
        <v>266</v>
      </c>
      <c r="R12" s="39"/>
      <c r="S12" s="287" t="str">
        <f>VLOOKUP($Q12,[1]MEP!$A$5:$D$300,3)</f>
        <v>PP EXCELLENTE PATUREE</v>
      </c>
      <c r="T12" s="75" t="str">
        <f>VLOOKUP($Q12,[1]MEP!$A$5:$D$300,4)</f>
        <v>zone 1</v>
      </c>
      <c r="U12" s="75" t="str">
        <f>VLOOKUP($Q12,[1]MEP!$A$4:$K$300,2)</f>
        <v>P</v>
      </c>
      <c r="V12" s="75">
        <f>VLOOKUP($Q12,[1]MEP!$A$4:$K$300,5)</f>
        <v>3.3</v>
      </c>
      <c r="W12" s="75">
        <f>VLOOKUP($Q12,[1]MEP!$A$4:$K$300,6)</f>
        <v>3</v>
      </c>
      <c r="X12" s="75">
        <f>VLOOKUP($Q12,[1]MEP!$A$4:$K$300,7)</f>
        <v>2.2999999999999998</v>
      </c>
      <c r="Y12" s="75">
        <f>VLOOKUP($Q12,[1]MEP!$A$4:$K$300,8)</f>
        <v>0.5</v>
      </c>
      <c r="Z12" s="75">
        <f>VLOOKUP($Q12,[1]MEP!$A$4:$K$300,9)</f>
        <v>0.7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0</v>
      </c>
      <c r="AZ15" s="13">
        <f>'Conduite Trp'!N5</f>
        <v>0</v>
      </c>
      <c r="BA15" s="13">
        <f>'Conduite Trp'!O5</f>
        <v>0</v>
      </c>
      <c r="BB15" s="13">
        <f>'Conduite Trp'!P5</f>
        <v>0</v>
      </c>
      <c r="BC15" s="13">
        <f>'Conduite Trp'!Q5</f>
        <v>0</v>
      </c>
      <c r="BD15" s="13">
        <f>'Conduite Trp'!R5</f>
        <v>0</v>
      </c>
      <c r="BE15" s="13">
        <f>'Conduite Trp'!S5</f>
        <v>0</v>
      </c>
      <c r="BF15" s="13">
        <f>'Conduite Trp'!T5</f>
        <v>0</v>
      </c>
      <c r="BG15" s="13">
        <f>'Conduite Trp'!U5</f>
        <v>0</v>
      </c>
      <c r="BH15" s="13">
        <f>'Conduite Trp'!V5</f>
        <v>0</v>
      </c>
      <c r="BI15" s="13">
        <f>'Conduite Trp'!W5</f>
        <v>0</v>
      </c>
      <c r="BJ15" s="13">
        <f>'Conduite Trp'!X5</f>
        <v>0</v>
      </c>
      <c r="BK15" s="13">
        <f>'Conduite Trp'!Y5</f>
        <v>0</v>
      </c>
      <c r="BL15" s="13">
        <f>'Conduite Trp'!Z5</f>
        <v>0</v>
      </c>
      <c r="BM15" s="13">
        <f>'Conduite Trp'!AA5</f>
        <v>0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0</v>
      </c>
      <c r="AZ16" s="13">
        <f>'Conduite Trp'!N6</f>
        <v>0</v>
      </c>
      <c r="BA16" s="13">
        <f>'Conduite Trp'!O6</f>
        <v>0</v>
      </c>
      <c r="BB16" s="13">
        <f>'Conduite Trp'!P6</f>
        <v>0</v>
      </c>
      <c r="BC16" s="13">
        <f>'Conduite Trp'!Q6</f>
        <v>0</v>
      </c>
      <c r="BD16" s="13">
        <f>'Conduite Trp'!R6</f>
        <v>0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0</v>
      </c>
      <c r="BI16" s="13">
        <f>'Conduite Trp'!W6</f>
        <v>0</v>
      </c>
      <c r="BJ16" s="13">
        <f>'Conduite Trp'!X6</f>
        <v>0</v>
      </c>
      <c r="BK16" s="13">
        <f>'Conduite Trp'!Y6</f>
        <v>0</v>
      </c>
      <c r="BL16" s="13">
        <f>'Conduite Trp'!Z6</f>
        <v>0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0</v>
      </c>
      <c r="AZ19" s="60">
        <f t="shared" si="15"/>
        <v>0</v>
      </c>
      <c r="BA19" s="60">
        <f t="shared" si="15"/>
        <v>0</v>
      </c>
      <c r="BB19" s="60">
        <f t="shared" si="15"/>
        <v>0</v>
      </c>
      <c r="BC19" s="60">
        <f t="shared" si="15"/>
        <v>0</v>
      </c>
      <c r="BD19" s="60">
        <f t="shared" si="15"/>
        <v>0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0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0</v>
      </c>
      <c r="BF20" s="60">
        <f t="shared" si="16"/>
        <v>0</v>
      </c>
      <c r="BG20" s="60">
        <f t="shared" si="16"/>
        <v>0</v>
      </c>
      <c r="BH20" s="60">
        <f t="shared" si="16"/>
        <v>0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0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0</v>
      </c>
      <c r="BJ21" s="60">
        <f t="shared" si="18"/>
        <v>0</v>
      </c>
      <c r="BK21" s="60">
        <f t="shared" si="18"/>
        <v>0</v>
      </c>
      <c r="BL21" s="60">
        <f t="shared" si="18"/>
        <v>0</v>
      </c>
      <c r="BM21" s="60">
        <f t="shared" si="18"/>
        <v>0</v>
      </c>
      <c r="BN21" s="60">
        <f t="shared" si="18"/>
        <v>0</v>
      </c>
      <c r="BO21" s="60">
        <f t="shared" si="18"/>
        <v>0</v>
      </c>
      <c r="BP21" s="60">
        <f t="shared" si="18"/>
        <v>0</v>
      </c>
      <c r="BR21" s="60">
        <f t="shared" si="17"/>
        <v>0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</v>
      </c>
      <c r="AT22" s="60">
        <f t="shared" ref="AT22:BP22" si="19">IF(AT$4=4,AT$15,0)</f>
        <v>0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</v>
      </c>
      <c r="BP22" s="60">
        <f t="shared" si="19"/>
        <v>0</v>
      </c>
      <c r="BR22" s="60">
        <f t="shared" si="17"/>
        <v>0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</v>
      </c>
      <c r="AV23" s="60">
        <f t="shared" si="20"/>
        <v>0</v>
      </c>
      <c r="AW23" s="60">
        <f t="shared" si="20"/>
        <v>0</v>
      </c>
      <c r="AX23" s="60">
        <f t="shared" si="20"/>
        <v>0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0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0</v>
      </c>
      <c r="E24" s="60">
        <f t="shared" si="21"/>
        <v>0</v>
      </c>
      <c r="F24" s="60">
        <f t="shared" si="21"/>
        <v>0</v>
      </c>
      <c r="G24" s="60">
        <f t="shared" si="21"/>
        <v>0</v>
      </c>
      <c r="H24" s="60">
        <f t="shared" si="21"/>
        <v>0</v>
      </c>
      <c r="I24" s="60">
        <f t="shared" si="21"/>
        <v>0</v>
      </c>
      <c r="J24" s="62"/>
      <c r="K24" s="60">
        <f>AL27+AL49+AL71</f>
        <v>165.2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0</v>
      </c>
      <c r="E25" s="60">
        <f>BR8</f>
        <v>0</v>
      </c>
      <c r="F25" s="60">
        <f>BR9</f>
        <v>0</v>
      </c>
      <c r="G25" s="60">
        <f>BR10</f>
        <v>0</v>
      </c>
      <c r="H25" s="60">
        <f>BR11</f>
        <v>0</v>
      </c>
      <c r="I25" s="60">
        <f>BR12</f>
        <v>0</v>
      </c>
      <c r="J25" s="62"/>
      <c r="K25" s="75">
        <f>'Conduite Trp'!C7</f>
        <v>342.70000000000005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0</v>
      </c>
      <c r="E27" s="92">
        <f t="shared" si="23"/>
        <v>0</v>
      </c>
      <c r="F27" s="92">
        <f t="shared" si="23"/>
        <v>0</v>
      </c>
      <c r="G27" s="92">
        <f t="shared" si="23"/>
        <v>0</v>
      </c>
      <c r="H27" s="92">
        <f t="shared" si="23"/>
        <v>0</v>
      </c>
      <c r="I27" s="92">
        <f t="shared" si="23"/>
        <v>0</v>
      </c>
      <c r="J27" s="62"/>
      <c r="K27" s="92">
        <f>K24-K25</f>
        <v>-177.50000000000006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0</v>
      </c>
      <c r="AF27" s="74">
        <f t="shared" ref="AF27:AJ27" si="24">SUM(AF7:AF26)</f>
        <v>0</v>
      </c>
      <c r="AG27" s="74">
        <f t="shared" si="24"/>
        <v>0</v>
      </c>
      <c r="AH27" s="74">
        <f t="shared" si="24"/>
        <v>0</v>
      </c>
      <c r="AI27" s="74">
        <f t="shared" si="24"/>
        <v>0</v>
      </c>
      <c r="AJ27" s="74">
        <f t="shared" si="24"/>
        <v>0</v>
      </c>
      <c r="AK27"/>
      <c r="AL27" s="74">
        <f>SUM(AL7:AL26)</f>
        <v>79.680000000000007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0</v>
      </c>
      <c r="AZ27" s="60">
        <f t="shared" si="25"/>
        <v>0</v>
      </c>
      <c r="BA27" s="60">
        <f t="shared" si="25"/>
        <v>0</v>
      </c>
      <c r="BB27" s="60">
        <f t="shared" si="25"/>
        <v>0</v>
      </c>
      <c r="BC27" s="60">
        <f t="shared" si="25"/>
        <v>0</v>
      </c>
      <c r="BD27" s="60">
        <f t="shared" si="25"/>
        <v>0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0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0</v>
      </c>
      <c r="BH28" s="60">
        <f t="shared" si="26"/>
        <v>0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0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274</v>
      </c>
      <c r="R29" s="39">
        <v>5.4</v>
      </c>
      <c r="S29" s="287" t="str">
        <f>VLOOKUP($Q29,[1]MEP!$A$5:$D$300,3)</f>
        <v>PP BONNE 3 COUPES ENRUB</v>
      </c>
      <c r="T29" s="75" t="str">
        <f>VLOOKUP($Q29,[1]MEP!$A$5:$D$300,4)</f>
        <v>zone 1</v>
      </c>
      <c r="U29" s="75" t="str">
        <f>VLOOKUP($Q29,[1]MEP!$A$4:$K$300,2)</f>
        <v>F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</v>
      </c>
      <c r="Y29" s="75">
        <f>VLOOKUP($Q29,[1]MEP!$A$4:$K$300,8)</f>
        <v>0</v>
      </c>
      <c r="Z29" s="75">
        <f>VLOOKUP($Q29,[1]MEP!$A$4:$K$300,9)</f>
        <v>0</v>
      </c>
      <c r="AA29" s="75">
        <f>VLOOKUP($Q29,[1]MEP!$A$4:$K$300,10)</f>
        <v>0</v>
      </c>
      <c r="AC29" s="75">
        <f>VLOOKUP($Q29,[1]MEP!$A$4:$K$300,11)</f>
        <v>6.8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0</v>
      </c>
      <c r="AH29" s="60">
        <f t="shared" ref="AH29:AH48" si="31">$R29*Y29</f>
        <v>0</v>
      </c>
      <c r="AI29" s="60">
        <f t="shared" ref="AI29:AI48" si="32">$R29*Z29</f>
        <v>0</v>
      </c>
      <c r="AJ29" s="60">
        <f t="shared" ref="AJ29:AJ48" si="33">$R29*AA29</f>
        <v>0</v>
      </c>
      <c r="AK29"/>
      <c r="AL29" s="60">
        <f t="shared" ref="AL29:AL48" si="34">R29*AC29</f>
        <v>36.72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0</v>
      </c>
      <c r="BJ29" s="60">
        <f t="shared" si="35"/>
        <v>0</v>
      </c>
      <c r="BK29" s="60">
        <f t="shared" si="35"/>
        <v>0</v>
      </c>
      <c r="BL29" s="60">
        <f t="shared" si="35"/>
        <v>0</v>
      </c>
      <c r="BM29" s="60">
        <f t="shared" si="35"/>
        <v>0</v>
      </c>
      <c r="BN29" s="60">
        <f t="shared" si="35"/>
        <v>0</v>
      </c>
      <c r="BO29" s="60">
        <f t="shared" si="35"/>
        <v>0</v>
      </c>
      <c r="BP29" s="60">
        <f t="shared" si="35"/>
        <v>0</v>
      </c>
      <c r="BR29" s="60">
        <f t="shared" si="27"/>
        <v>0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294</v>
      </c>
      <c r="R30" s="39">
        <v>4.4000000000000004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</v>
      </c>
      <c r="V30" s="75">
        <f>VLOOKUP($Q30,[1]MEP!$A$4:$K$300,5)</f>
        <v>0</v>
      </c>
      <c r="W30" s="75">
        <f>VLOOKUP($Q30,[1]MEP!$A$4:$K$300,6)</f>
        <v>0</v>
      </c>
      <c r="X30" s="75">
        <f>VLOOKUP($Q30,[1]MEP!$A$4:$K$300,7)</f>
        <v>0</v>
      </c>
      <c r="Y30" s="75">
        <f>VLOOKUP($Q30,[1]MEP!$A$4:$K$300,8)</f>
        <v>0</v>
      </c>
      <c r="Z30" s="75">
        <f>VLOOKUP($Q30,[1]MEP!$A$4:$K$300,9)</f>
        <v>0</v>
      </c>
      <c r="AA30" s="75">
        <f>VLOOKUP($Q30,[1]MEP!$A$4:$K$300,10)</f>
        <v>0</v>
      </c>
      <c r="AC30" s="75">
        <f>VLOOKUP($Q30,[1]MEP!$A$4:$K$300,11)</f>
        <v>8</v>
      </c>
      <c r="AE30" s="60">
        <f t="shared" si="28"/>
        <v>0</v>
      </c>
      <c r="AF30" s="60">
        <f t="shared" si="29"/>
        <v>0</v>
      </c>
      <c r="AG30" s="60">
        <f t="shared" si="30"/>
        <v>0</v>
      </c>
      <c r="AH30" s="60">
        <f t="shared" si="31"/>
        <v>0</v>
      </c>
      <c r="AI30" s="60">
        <f t="shared" si="32"/>
        <v>0</v>
      </c>
      <c r="AJ30" s="60">
        <f t="shared" si="33"/>
        <v>0</v>
      </c>
      <c r="AK30"/>
      <c r="AL30" s="60">
        <f t="shared" si="34"/>
        <v>35.200000000000003</v>
      </c>
      <c r="AR30" s="69">
        <v>4</v>
      </c>
      <c r="AS30" s="60">
        <f>IF(AS$4=4,AS$16,0)</f>
        <v>0</v>
      </c>
      <c r="AT30" s="60">
        <f t="shared" ref="AT30:BP30" si="36">IF(AT$4=4,AT$16,0)</f>
        <v>0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</v>
      </c>
      <c r="BP30" s="60">
        <f t="shared" si="36"/>
        <v>0</v>
      </c>
      <c r="BR30" s="60">
        <f t="shared" si="27"/>
        <v>0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0</v>
      </c>
      <c r="AF31" s="60">
        <f t="shared" si="29"/>
        <v>0</v>
      </c>
      <c r="AG31" s="60">
        <f t="shared" si="30"/>
        <v>0</v>
      </c>
      <c r="AH31" s="60">
        <f t="shared" si="31"/>
        <v>0</v>
      </c>
      <c r="AI31" s="60">
        <f t="shared" si="32"/>
        <v>0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</v>
      </c>
      <c r="AV31" s="60">
        <f t="shared" si="37"/>
        <v>0</v>
      </c>
      <c r="AW31" s="60">
        <f t="shared" si="37"/>
        <v>0</v>
      </c>
      <c r="AX31" s="60">
        <f t="shared" si="37"/>
        <v>0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0</v>
      </c>
    </row>
    <row r="32" spans="2:72" x14ac:dyDescent="0.25">
      <c r="D32" s="67" t="s">
        <v>267</v>
      </c>
      <c r="E32" s="67" t="s">
        <v>18</v>
      </c>
      <c r="F32" s="294" t="s">
        <v>276</v>
      </c>
      <c r="G32" s="294"/>
      <c r="H32" s="81"/>
      <c r="I32" s="67" t="s">
        <v>280</v>
      </c>
      <c r="J32" s="81" t="s">
        <v>280</v>
      </c>
      <c r="K32" s="294" t="s">
        <v>278</v>
      </c>
      <c r="L32" s="294"/>
      <c r="M32" s="81"/>
      <c r="P32">
        <v>4</v>
      </c>
      <c r="Q32" s="39">
        <v>274</v>
      </c>
      <c r="R32" s="39">
        <v>2</v>
      </c>
      <c r="S32" s="287" t="str">
        <f>VLOOKUP($Q32,[1]MEP!$A$5:$D$300,3)</f>
        <v>PP BONNE 3 COUPES ENRUB</v>
      </c>
      <c r="T32" s="75" t="str">
        <f>VLOOKUP($Q32,[1]MEP!$A$5:$D$300,4)</f>
        <v>zone 1</v>
      </c>
      <c r="U32" s="75" t="str">
        <f>VLOOKUP($Q32,[1]MEP!$A$4:$K$300,2)</f>
        <v>F</v>
      </c>
      <c r="V32" s="75">
        <f>VLOOKUP($Q32,[1]MEP!$A$4:$K$300,5)</f>
        <v>0</v>
      </c>
      <c r="W32" s="75">
        <f>VLOOKUP($Q32,[1]MEP!$A$4:$K$300,6)</f>
        <v>0</v>
      </c>
      <c r="X32" s="75">
        <f>VLOOKUP($Q32,[1]MEP!$A$4:$K$300,7)</f>
        <v>0</v>
      </c>
      <c r="Y32" s="75">
        <f>VLOOKUP($Q32,[1]MEP!$A$4:$K$300,8)</f>
        <v>0</v>
      </c>
      <c r="Z32" s="75">
        <f>VLOOKUP($Q32,[1]MEP!$A$4:$K$300,9)</f>
        <v>0</v>
      </c>
      <c r="AA32" s="75">
        <f>VLOOKUP($Q32,[1]MEP!$A$4:$K$300,10)</f>
        <v>0</v>
      </c>
      <c r="AC32" s="75">
        <f>VLOOKUP($Q32,[1]MEP!$A$4:$K$300,11)</f>
        <v>6.8</v>
      </c>
      <c r="AE32" s="60">
        <f t="shared" si="28"/>
        <v>0</v>
      </c>
      <c r="AF32" s="60">
        <f t="shared" si="29"/>
        <v>0</v>
      </c>
      <c r="AG32" s="60">
        <f t="shared" si="30"/>
        <v>0</v>
      </c>
      <c r="AH32" s="60">
        <f t="shared" si="31"/>
        <v>0</v>
      </c>
      <c r="AI32" s="60">
        <f t="shared" si="32"/>
        <v>0</v>
      </c>
      <c r="AJ32" s="60">
        <f t="shared" si="33"/>
        <v>0</v>
      </c>
      <c r="AK32"/>
      <c r="AL32" s="60">
        <f t="shared" si="34"/>
        <v>13.6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 t="str">
        <f>VLOOKUP($D34,[1]Cult!$A$5:$F$61,2)</f>
        <v>landes litières fougère (F ou F/P) toutes zones</v>
      </c>
      <c r="D34" s="39">
        <v>28</v>
      </c>
      <c r="E34" s="39">
        <v>7.1</v>
      </c>
      <c r="F34" s="75">
        <f>VLOOKUP($D34,[1]Cult!$A$5:$F$61,3)</f>
        <v>0</v>
      </c>
      <c r="G34" s="75">
        <f>VLOOKUP($D34,[1]Cult!$A$5:$F$61,4)</f>
        <v>3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21.299999999999997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</v>
      </c>
      <c r="AZ35" s="60">
        <f t="shared" si="43"/>
        <v>0</v>
      </c>
      <c r="BA35" s="60">
        <f t="shared" si="43"/>
        <v>0</v>
      </c>
      <c r="BB35" s="60">
        <f t="shared" si="43"/>
        <v>0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0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0</v>
      </c>
      <c r="BF36" s="60">
        <f t="shared" si="44"/>
        <v>0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0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0</v>
      </c>
      <c r="BM37" s="60">
        <f t="shared" si="46"/>
        <v>0</v>
      </c>
      <c r="BN37" s="60">
        <f t="shared" si="46"/>
        <v>0</v>
      </c>
      <c r="BO37" s="60">
        <f t="shared" si="46"/>
        <v>0</v>
      </c>
      <c r="BP37" s="60">
        <f t="shared" si="46"/>
        <v>0</v>
      </c>
      <c r="BR37" s="60">
        <f t="shared" si="45"/>
        <v>0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</v>
      </c>
      <c r="BP38" s="60">
        <f t="shared" si="47"/>
        <v>0</v>
      </c>
      <c r="BR38" s="60">
        <f t="shared" si="45"/>
        <v>0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</v>
      </c>
      <c r="AX39" s="60">
        <f t="shared" si="48"/>
        <v>0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0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0</v>
      </c>
      <c r="AF49" s="74">
        <f t="shared" ref="AF49" si="50">SUM(AF29:AF48)</f>
        <v>0</v>
      </c>
      <c r="AG49" s="74">
        <f t="shared" ref="AG49" si="51">SUM(AG29:AG48)</f>
        <v>0</v>
      </c>
      <c r="AH49" s="74">
        <f t="shared" ref="AH49" si="52">SUM(AH29:AH48)</f>
        <v>0</v>
      </c>
      <c r="AI49" s="74">
        <f t="shared" ref="AI49" si="53">SUM(AI29:AI48)</f>
        <v>0</v>
      </c>
      <c r="AJ49" s="74">
        <f t="shared" ref="AJ49" si="54">SUM(AJ29:AJ48)</f>
        <v>0</v>
      </c>
      <c r="AK49"/>
      <c r="AL49" s="74">
        <f>SUM(AL29:AL48)</f>
        <v>85.52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47</v>
      </c>
      <c r="R51" s="39">
        <v>7.1</v>
      </c>
      <c r="S51" s="287" t="str">
        <f>VLOOKUP($Q51,[1]MEP!$A$5:$D$300,3)</f>
        <v>lande litière</v>
      </c>
      <c r="T51" s="75" t="str">
        <f>VLOOKUP($Q51,[1]MEP!$A$5:$D$300,4)</f>
        <v>TOUTES ZONES</v>
      </c>
      <c r="U51" s="75">
        <f>VLOOKUP($Q51,[1]MEP!$A$4:$K$300,2)</f>
        <v>0</v>
      </c>
      <c r="V51" s="75">
        <f>VLOOKUP($Q51,[1]MEP!$A$4:$K$300,5)</f>
        <v>0</v>
      </c>
      <c r="W51" s="75">
        <f>VLOOKUP($Q51,[1]MEP!$A$4:$K$300,6)</f>
        <v>0</v>
      </c>
      <c r="X51" s="75">
        <f>VLOOKUP($Q51,[1]MEP!$A$4:$K$300,7)</f>
        <v>0</v>
      </c>
      <c r="Y51" s="75">
        <f>VLOOKUP($Q51,[1]MEP!$A$4:$K$300,8)</f>
        <v>0</v>
      </c>
      <c r="Z51" s="75">
        <f>VLOOKUP($Q51,[1]MEP!$A$4:$K$300,9)</f>
        <v>0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0</v>
      </c>
      <c r="AF51" s="60">
        <f t="shared" ref="AF51:AF70" si="61">$R51*W51</f>
        <v>0</v>
      </c>
      <c r="AG51" s="60">
        <f t="shared" ref="AG51:AG70" si="62">$R51*X51</f>
        <v>0</v>
      </c>
      <c r="AH51" s="60">
        <f t="shared" ref="AH51:AH70" si="63">$R51*Y51</f>
        <v>0</v>
      </c>
      <c r="AI51" s="60">
        <f t="shared" ref="AI51:AI70" si="64">$R51*Z51</f>
        <v>0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47</v>
      </c>
      <c r="R52" s="39">
        <v>5</v>
      </c>
      <c r="S52" s="287" t="str">
        <f>VLOOKUP($Q52,[1]MEP!$A$5:$D$300,3)</f>
        <v>lande litière</v>
      </c>
      <c r="T52" s="75" t="str">
        <f>VLOOKUP($Q52,[1]MEP!$A$5:$D$300,4)</f>
        <v>TOUTES ZONES</v>
      </c>
      <c r="U52" s="75">
        <f>VLOOKUP($Q52,[1]MEP!$A$4:$K$300,2)</f>
        <v>0</v>
      </c>
      <c r="V52" s="75">
        <f>VLOOKUP($Q52,[1]MEP!$A$4:$K$300,5)</f>
        <v>0</v>
      </c>
      <c r="W52" s="75">
        <f>VLOOKUP($Q52,[1]MEP!$A$4:$K$300,6)</f>
        <v>0</v>
      </c>
      <c r="X52" s="75">
        <f>VLOOKUP($Q52,[1]MEP!$A$4:$K$300,7)</f>
        <v>0</v>
      </c>
      <c r="Y52" s="75">
        <f>VLOOKUP($Q52,[1]MEP!$A$4:$K$300,8)</f>
        <v>0</v>
      </c>
      <c r="Z52" s="75">
        <f>VLOOKUP($Q52,[1]MEP!$A$4:$K$300,9)</f>
        <v>0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0</v>
      </c>
      <c r="AG52" s="60">
        <f t="shared" si="62"/>
        <v>0</v>
      </c>
      <c r="AH52" s="60">
        <f t="shared" si="63"/>
        <v>0</v>
      </c>
      <c r="AI52" s="60">
        <f t="shared" si="64"/>
        <v>0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0</v>
      </c>
      <c r="AF71" s="74">
        <f t="shared" si="68"/>
        <v>0</v>
      </c>
      <c r="AG71" s="74">
        <f t="shared" si="68"/>
        <v>0</v>
      </c>
      <c r="AH71" s="74">
        <f t="shared" si="68"/>
        <v>0</v>
      </c>
      <c r="AI71" s="74">
        <f t="shared" si="68"/>
        <v>0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0</v>
      </c>
      <c r="E72" s="60">
        <f t="shared" ref="E72:H72" si="69">AF27</f>
        <v>0</v>
      </c>
      <c r="F72" s="60">
        <f t="shared" si="69"/>
        <v>0</v>
      </c>
      <c r="G72" s="60">
        <f t="shared" si="69"/>
        <v>0</v>
      </c>
      <c r="H72" s="60">
        <f t="shared" si="69"/>
        <v>0</v>
      </c>
      <c r="I72" s="60">
        <f t="shared" ref="I72" si="70">AJ75+AJ97+AJ119</f>
        <v>0</v>
      </c>
      <c r="J72" s="62"/>
      <c r="K72" s="60">
        <f>+K24</f>
        <v>165.2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0</v>
      </c>
      <c r="E73" s="60">
        <f>BR20</f>
        <v>0</v>
      </c>
      <c r="F73" s="60">
        <f>BR21</f>
        <v>0</v>
      </c>
      <c r="G73" s="60">
        <f>BR22</f>
        <v>0</v>
      </c>
      <c r="H73" s="60">
        <f>BR23</f>
        <v>0</v>
      </c>
      <c r="I73" s="60">
        <f>BR60</f>
        <v>0</v>
      </c>
      <c r="J73" s="62"/>
      <c r="K73" s="75">
        <f>+K25</f>
        <v>342.70000000000005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0</v>
      </c>
      <c r="E75" s="92">
        <f t="shared" ref="E75:I75" si="71">E72-E73</f>
        <v>0</v>
      </c>
      <c r="F75" s="92">
        <f t="shared" si="71"/>
        <v>0</v>
      </c>
      <c r="G75" s="92">
        <f t="shared" si="71"/>
        <v>0</v>
      </c>
      <c r="H75" s="92">
        <f t="shared" si="71"/>
        <v>0</v>
      </c>
      <c r="I75" s="92">
        <f t="shared" si="71"/>
        <v>0</v>
      </c>
      <c r="J75" s="62"/>
      <c r="K75" s="92">
        <f>+K27</f>
        <v>-177.50000000000006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0</v>
      </c>
      <c r="E82" s="60">
        <f t="shared" ref="E82:H82" si="72">AF49</f>
        <v>0</v>
      </c>
      <c r="F82" s="60">
        <f t="shared" si="72"/>
        <v>0</v>
      </c>
      <c r="G82" s="60">
        <f t="shared" si="72"/>
        <v>0</v>
      </c>
      <c r="H82" s="60">
        <f t="shared" si="72"/>
        <v>0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0</v>
      </c>
      <c r="E83" s="60">
        <f>BR28</f>
        <v>0</v>
      </c>
      <c r="F83" s="60">
        <f>BR29</f>
        <v>0</v>
      </c>
      <c r="G83" s="60">
        <f>BR30</f>
        <v>0</v>
      </c>
      <c r="H83" s="60">
        <f>BR31</f>
        <v>0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</v>
      </c>
      <c r="E85" s="92">
        <f t="shared" ref="E85:H85" si="73">E82-E83</f>
        <v>0</v>
      </c>
      <c r="F85" s="92">
        <f t="shared" si="73"/>
        <v>0</v>
      </c>
      <c r="G85" s="92">
        <f t="shared" si="73"/>
        <v>0</v>
      </c>
      <c r="H85" s="92">
        <f t="shared" si="73"/>
        <v>0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0</v>
      </c>
      <c r="E92" s="60">
        <f t="shared" ref="E92:I92" si="74">AF71</f>
        <v>0</v>
      </c>
      <c r="F92" s="60">
        <f t="shared" si="74"/>
        <v>0</v>
      </c>
      <c r="G92" s="60">
        <f t="shared" si="74"/>
        <v>0</v>
      </c>
      <c r="H92" s="60">
        <f t="shared" si="74"/>
        <v>0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0</v>
      </c>
      <c r="E93" s="60">
        <f>BR36</f>
        <v>0</v>
      </c>
      <c r="F93" s="60">
        <f>BR37</f>
        <v>0</v>
      </c>
      <c r="G93" s="60">
        <f>BR38</f>
        <v>0</v>
      </c>
      <c r="H93" s="60">
        <f>BR39</f>
        <v>0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0</v>
      </c>
      <c r="E95" s="92">
        <f t="shared" ref="E95:H95" si="75">E92-E93</f>
        <v>0</v>
      </c>
      <c r="F95" s="92">
        <f t="shared" si="75"/>
        <v>0</v>
      </c>
      <c r="G95" s="92">
        <f t="shared" si="75"/>
        <v>0</v>
      </c>
      <c r="H95" s="92">
        <f t="shared" si="75"/>
        <v>0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2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0</v>
      </c>
      <c r="L2" s="8">
        <f t="shared" ref="L2:L33" si="0">IF(J2=$Y$5,K2*$AA$5,IF(J2=$Y$6,K2*$AA$6,IF(J2=$Y$7,K2*$AA$7,"")))</f>
        <v>0</v>
      </c>
      <c r="M2" s="10">
        <f>IF(I2=$Y$10,SQRT(L2*10000),SQRT(Parcellaire!L2*10000)/$AC$11)</f>
        <v>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0</v>
      </c>
      <c r="U2" s="10">
        <f t="shared" ref="U2:U36" si="5">IF(C2=2,Q2*M2,0)</f>
        <v>0</v>
      </c>
      <c r="V2" s="27">
        <f t="shared" ref="V2:V36" si="6">O2*M2</f>
        <v>0</v>
      </c>
      <c r="W2" s="3"/>
      <c r="X2" s="3"/>
    </row>
    <row r="3" spans="1:29" ht="15" customHeight="1" x14ac:dyDescent="0.25">
      <c r="A3" s="8">
        <v>3</v>
      </c>
      <c r="B3" s="9">
        <v>2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0</v>
      </c>
      <c r="L3" s="8">
        <f t="shared" ref="L3:L24" si="8">IF(J3=$Y$5,K3*$AA$5,IF(J3=$Y$6,K3*$AA$6,IF(J3=$Y$7,K3*$AA$7,"")))</f>
        <v>0</v>
      </c>
      <c r="M3" s="10">
        <f>IF(I3=$Y$10,SQRT(L3*10000),SQRT(Parcellaire!L3*10000)/$AC$11)</f>
        <v>0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2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0</v>
      </c>
      <c r="L5" s="8">
        <f t="shared" si="8"/>
        <v>0</v>
      </c>
      <c r="M5" s="10">
        <f>IF(I5=$Y$10,SQRT(L5*10000),SQRT(Parcellaire!L5*10000)/$AC$11)</f>
        <v>0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0</v>
      </c>
      <c r="U5" s="10">
        <f t="shared" si="5"/>
        <v>0</v>
      </c>
      <c r="V5" s="27">
        <f t="shared" si="6"/>
        <v>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2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0</v>
      </c>
      <c r="L6" s="8">
        <f t="shared" si="8"/>
        <v>0</v>
      </c>
      <c r="M6" s="10">
        <f>IF(I6=$Y$10,SQRT(L6*10000),SQRT(Parcellaire!L6*10000)/$AC$11)</f>
        <v>0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2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2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0</v>
      </c>
      <c r="L17" s="8">
        <f t="shared" si="8"/>
        <v>0</v>
      </c>
      <c r="M17" s="10">
        <f>IF(I17=$Y$10,SQRT(L17*10000),SQRT(Parcellaire!L17*10000)/$AC$11)</f>
        <v>0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0</v>
      </c>
      <c r="U17" s="10">
        <f t="shared" si="5"/>
        <v>0</v>
      </c>
      <c r="V17" s="27">
        <f t="shared" si="6"/>
        <v>0</v>
      </c>
      <c r="W17" s="3"/>
      <c r="X17" s="3"/>
      <c r="Y17" s="8">
        <v>2</v>
      </c>
      <c r="Z17" s="137" t="s">
        <v>335</v>
      </c>
      <c r="AA17" s="135">
        <f>T63</f>
        <v>3436.0022965268804</v>
      </c>
      <c r="AB17" t="s">
        <v>42</v>
      </c>
    </row>
    <row r="18" spans="1:28" ht="15" customHeight="1" x14ac:dyDescent="0.25">
      <c r="A18" s="8">
        <v>18</v>
      </c>
      <c r="B18" s="9">
        <v>2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0</v>
      </c>
      <c r="L18" s="8">
        <f t="shared" si="8"/>
        <v>0</v>
      </c>
      <c r="M18" s="10">
        <f>IF(I18=$Y$10,SQRT(L18*10000),SQRT(Parcellaire!L18*10000)/$AC$11)</f>
        <v>0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3436.0022965268804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13.400000000000002</v>
      </c>
      <c r="H63" s="169"/>
      <c r="I63" s="169">
        <f>SUMIF(Parcellaire!$B$2:$B$62,1,Parcellaire!I2:I62)</f>
        <v>24</v>
      </c>
      <c r="J63" s="169">
        <f>SUMIF(Parcellaire!$B$2:$B$62,1,Parcellaire!J2:J62)</f>
        <v>6</v>
      </c>
      <c r="K63" s="169">
        <f>SUMIF(Parcellaire!$B$2:$B$62,1,Parcellaire!K2:K62)</f>
        <v>13.89</v>
      </c>
      <c r="L63" s="169">
        <f>SUMIF(Parcellaire!$B$2:$B$62,1,Parcellaire!L2:L62)</f>
        <v>15.156000000000001</v>
      </c>
      <c r="M63" s="169">
        <f>SUMIF(Parcellaire!$B$2:$B$62,1,Parcellaire!M2:M62)</f>
        <v>763.5560658948624</v>
      </c>
      <c r="N63" s="169">
        <f>SUMIF(Parcellaire!$B$2:$B$62,1,Parcellaire!N2:N62)</f>
        <v>60</v>
      </c>
      <c r="O63" s="169">
        <f>SUMIF(Parcellaire!$B$2:$B$62,1,Parcellaire!O2:O62)</f>
        <v>48</v>
      </c>
      <c r="P63" s="169">
        <f>SUMIF(Parcellaire!$B$2:$B$62,1,Parcellaire!P2:P62)</f>
        <v>0</v>
      </c>
      <c r="Q63" s="169">
        <f>SUMIF(Parcellaire!$B$2:$B$62,1,Parcellaire!Q2:Q62)</f>
        <v>24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3436.0022965268804</v>
      </c>
      <c r="U63" s="169">
        <f>SUMIF(Parcellaire!$B$2:$B$62,1,Parcellaire!U2:U62)</f>
        <v>2290.6681976845871</v>
      </c>
      <c r="V63" s="169">
        <f>SUMIF(Parcellaire!$B$2:$B$62,1,Parcellaire!V2:V62)</f>
        <v>4581.3363953691742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4" t="s">
        <v>2</v>
      </c>
      <c r="C64" s="294"/>
      <c r="D64" s="294" t="s">
        <v>0</v>
      </c>
      <c r="E64" s="294"/>
      <c r="F64" s="294" t="s">
        <v>1</v>
      </c>
      <c r="G64" s="294"/>
      <c r="H64" s="294" t="s">
        <v>3</v>
      </c>
      <c r="I64" s="294"/>
      <c r="J64" s="294" t="s">
        <v>4</v>
      </c>
      <c r="K64" s="294"/>
      <c r="L64" s="294" t="s">
        <v>5</v>
      </c>
      <c r="M64" s="294"/>
      <c r="N64" s="294" t="s">
        <v>6</v>
      </c>
      <c r="O64" s="294"/>
      <c r="P64" s="294" t="s">
        <v>7</v>
      </c>
      <c r="Q64" s="294"/>
      <c r="R64" s="294" t="s">
        <v>8</v>
      </c>
      <c r="S64" s="294"/>
      <c r="T64" s="294" t="s">
        <v>9</v>
      </c>
      <c r="U64" s="294"/>
      <c r="V64" s="294" t="s">
        <v>10</v>
      </c>
      <c r="W64" s="294"/>
      <c r="X64" s="294" t="s">
        <v>11</v>
      </c>
      <c r="Y64" s="294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4" t="s">
        <v>2</v>
      </c>
      <c r="C90" s="294"/>
      <c r="D90" s="294" t="s">
        <v>0</v>
      </c>
      <c r="E90" s="294"/>
      <c r="F90" s="294" t="s">
        <v>1</v>
      </c>
      <c r="G90" s="294"/>
      <c r="H90" s="294" t="s">
        <v>3</v>
      </c>
      <c r="I90" s="294"/>
      <c r="J90" s="294" t="s">
        <v>4</v>
      </c>
      <c r="K90" s="294"/>
      <c r="L90" s="294" t="s">
        <v>5</v>
      </c>
      <c r="M90" s="294"/>
      <c r="N90" s="294" t="s">
        <v>6</v>
      </c>
      <c r="O90" s="294"/>
      <c r="P90" s="294" t="s">
        <v>7</v>
      </c>
      <c r="Q90" s="294"/>
      <c r="R90" s="294" t="s">
        <v>8</v>
      </c>
      <c r="S90" s="294"/>
      <c r="T90" s="294" t="s">
        <v>9</v>
      </c>
      <c r="U90" s="294"/>
      <c r="V90" s="294" t="s">
        <v>10</v>
      </c>
      <c r="W90" s="294"/>
      <c r="X90" s="294" t="s">
        <v>11</v>
      </c>
      <c r="Y90" s="294"/>
      <c r="AC90" t="s">
        <v>429</v>
      </c>
      <c r="AD90" s="294" t="s">
        <v>2</v>
      </c>
      <c r="AE90" s="294"/>
      <c r="AF90" s="294" t="s">
        <v>0</v>
      </c>
      <c r="AG90" s="294"/>
      <c r="AH90" s="294" t="s">
        <v>1</v>
      </c>
      <c r="AI90" s="294"/>
      <c r="AJ90" s="294" t="s">
        <v>3</v>
      </c>
      <c r="AK90" s="294"/>
      <c r="AL90" s="294" t="s">
        <v>4</v>
      </c>
      <c r="AM90" s="294"/>
      <c r="AN90" s="294" t="s">
        <v>5</v>
      </c>
      <c r="AO90" s="294"/>
      <c r="AP90" s="294" t="s">
        <v>6</v>
      </c>
      <c r="AQ90" s="294"/>
      <c r="AR90" s="294" t="s">
        <v>7</v>
      </c>
      <c r="AS90" s="294"/>
      <c r="AT90" s="294" t="s">
        <v>8</v>
      </c>
      <c r="AU90" s="294"/>
      <c r="AV90" s="294" t="s">
        <v>9</v>
      </c>
      <c r="AW90" s="294"/>
      <c r="AX90" s="294" t="s">
        <v>10</v>
      </c>
      <c r="AY90" s="294"/>
      <c r="AZ90" s="294" t="s">
        <v>11</v>
      </c>
      <c r="BA90" s="294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4" t="s">
        <v>2</v>
      </c>
      <c r="C117" s="294"/>
      <c r="D117" s="294" t="s">
        <v>0</v>
      </c>
      <c r="E117" s="294"/>
      <c r="F117" s="294" t="s">
        <v>1</v>
      </c>
      <c r="G117" s="294"/>
      <c r="H117" s="294" t="s">
        <v>3</v>
      </c>
      <c r="I117" s="294"/>
      <c r="J117" s="294" t="s">
        <v>4</v>
      </c>
      <c r="K117" s="294"/>
      <c r="L117" s="294" t="s">
        <v>5</v>
      </c>
      <c r="M117" s="294"/>
      <c r="N117" s="294" t="s">
        <v>6</v>
      </c>
      <c r="O117" s="294"/>
      <c r="P117" s="294" t="s">
        <v>7</v>
      </c>
      <c r="Q117" s="294"/>
      <c r="R117" s="294" t="s">
        <v>8</v>
      </c>
      <c r="S117" s="294"/>
      <c r="T117" s="294" t="s">
        <v>9</v>
      </c>
      <c r="U117" s="294"/>
      <c r="V117" s="294" t="s">
        <v>10</v>
      </c>
      <c r="W117" s="294"/>
      <c r="X117" s="294" t="s">
        <v>11</v>
      </c>
      <c r="Y117" s="294"/>
      <c r="AD117" s="294" t="s">
        <v>2</v>
      </c>
      <c r="AE117" s="294"/>
      <c r="AF117" s="294" t="s">
        <v>0</v>
      </c>
      <c r="AG117" s="294"/>
      <c r="AH117" s="294" t="s">
        <v>1</v>
      </c>
      <c r="AI117" s="294"/>
      <c r="AJ117" s="294" t="s">
        <v>3</v>
      </c>
      <c r="AK117" s="294"/>
      <c r="AL117" s="294" t="s">
        <v>4</v>
      </c>
      <c r="AM117" s="294"/>
      <c r="AN117" s="294" t="s">
        <v>5</v>
      </c>
      <c r="AO117" s="294"/>
      <c r="AP117" s="294" t="s">
        <v>6</v>
      </c>
      <c r="AQ117" s="294"/>
      <c r="AR117" s="294" t="s">
        <v>7</v>
      </c>
      <c r="AS117" s="294"/>
      <c r="AT117" s="294" t="s">
        <v>8</v>
      </c>
      <c r="AU117" s="294"/>
      <c r="AV117" s="294" t="s">
        <v>9</v>
      </c>
      <c r="AW117" s="294"/>
      <c r="AX117" s="294" t="s">
        <v>10</v>
      </c>
      <c r="AY117" s="294"/>
      <c r="AZ117" s="294" t="s">
        <v>11</v>
      </c>
      <c r="BA117" s="294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52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1464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28</v>
      </c>
      <c r="U24" s="172">
        <f>'Alim -Surf'!E34</f>
        <v>7.1</v>
      </c>
      <c r="V24" s="172" t="str">
        <f>IF(T24=0,0,VLOOKUP(T24,[1]Cult!$A$7:$H$76,8))</f>
        <v>FL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7.1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22.9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22.9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15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7.1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7.1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7.1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2.29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/>
    </row>
    <row r="55" spans="10:16" x14ac:dyDescent="0.25">
      <c r="J55" s="14" t="s">
        <v>570</v>
      </c>
      <c r="K55" s="79"/>
    </row>
    <row r="56" spans="10:16" x14ac:dyDescent="0.25">
      <c r="J56" s="14" t="s">
        <v>571</v>
      </c>
      <c r="K56" s="173">
        <v>1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573</v>
      </c>
      <c r="N57" t="s">
        <v>575</v>
      </c>
      <c r="P57" t="s">
        <v>576</v>
      </c>
    </row>
    <row r="58" spans="10:16" x14ac:dyDescent="0.25">
      <c r="J58" s="14" t="s">
        <v>577</v>
      </c>
      <c r="K58" s="79"/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/>
      <c r="P61" t="s">
        <v>583</v>
      </c>
    </row>
    <row r="62" spans="10:16" x14ac:dyDescent="0.25">
      <c r="J62" s="14" t="s">
        <v>584</v>
      </c>
      <c r="K62" s="79"/>
    </row>
    <row r="63" spans="10:16" x14ac:dyDescent="0.25">
      <c r="J63"/>
      <c r="K63"/>
    </row>
    <row r="64" spans="10:16" x14ac:dyDescent="0.25">
      <c r="J64" s="14" t="s">
        <v>585</v>
      </c>
      <c r="K64" s="285" t="s">
        <v>583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0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5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/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1463</v>
      </c>
      <c r="K89" s="79"/>
      <c r="T89">
        <v>4</v>
      </c>
      <c r="U89" t="s">
        <v>624</v>
      </c>
    </row>
    <row r="90" spans="9:21" x14ac:dyDescent="0.25">
      <c r="J90" s="14" t="s">
        <v>1384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/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10">IF($T165&gt;0,$S165,0)</f>
        <v>0</v>
      </c>
      <c r="V165" s="172">
        <f t="shared" ref="V165:V207" si="11">IF($T165&gt;1,$S165,0)</f>
        <v>0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0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0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294</v>
      </c>
      <c r="S166" s="172">
        <f>'Alim -Surf'!R9</f>
        <v>3.5</v>
      </c>
      <c r="T166" s="172">
        <f>VLOOKUP(R166,[1]MEP!$A$4:$M$300,13)</f>
        <v>2</v>
      </c>
      <c r="U166" s="172">
        <f t="shared" si="10"/>
        <v>3.5</v>
      </c>
      <c r="V166" s="172">
        <f t="shared" si="11"/>
        <v>3.5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0</v>
      </c>
      <c r="AJ166" s="172">
        <f t="shared" si="20"/>
        <v>3.5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0</v>
      </c>
      <c r="T167" s="172">
        <f>VLOOKUP(R167,[1]MEP!$A$4:$M$300,13)</f>
        <v>1</v>
      </c>
      <c r="U167" s="172">
        <f t="shared" si="10"/>
        <v>0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0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0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274</v>
      </c>
      <c r="S168" s="172">
        <f>'Alim -Surf'!R11</f>
        <v>7.6</v>
      </c>
      <c r="T168" s="172">
        <f>VLOOKUP(R168,[1]MEP!$A$4:$M$300,13)</f>
        <v>3</v>
      </c>
      <c r="U168" s="172">
        <f t="shared" si="10"/>
        <v>7.6</v>
      </c>
      <c r="V168" s="172">
        <f t="shared" si="11"/>
        <v>7.6</v>
      </c>
      <c r="W168" s="172">
        <f t="shared" si="12"/>
        <v>7.6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7.6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0</v>
      </c>
      <c r="AI168" s="172">
        <f t="shared" si="19"/>
        <v>0</v>
      </c>
      <c r="AJ168" s="172">
        <f t="shared" si="20"/>
        <v>7.6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266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274</v>
      </c>
      <c r="S186" s="172">
        <f>'Alim -Surf'!R29</f>
        <v>5.4</v>
      </c>
      <c r="T186" s="172">
        <f>VLOOKUP(R186,[1]MEP!$A$4:$M$300,13)</f>
        <v>3</v>
      </c>
      <c r="U186" s="172">
        <f t="shared" si="10"/>
        <v>5.4</v>
      </c>
      <c r="V186" s="172">
        <f t="shared" si="11"/>
        <v>5.4</v>
      </c>
      <c r="W186" s="172">
        <f t="shared" si="12"/>
        <v>5.4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5.4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5.4</v>
      </c>
      <c r="AL186" s="5"/>
    </row>
    <row r="187" spans="17:38" x14ac:dyDescent="0.25">
      <c r="Q187">
        <v>2</v>
      </c>
      <c r="R187" s="172">
        <f>'Alim -Surf'!Q30</f>
        <v>294</v>
      </c>
      <c r="S187" s="172">
        <f>'Alim -Surf'!R30</f>
        <v>4.4000000000000004</v>
      </c>
      <c r="T187" s="172">
        <f>VLOOKUP(R187,[1]MEP!$A$4:$M$300,13)</f>
        <v>2</v>
      </c>
      <c r="U187" s="172">
        <f t="shared" si="10"/>
        <v>4.4000000000000004</v>
      </c>
      <c r="V187" s="172">
        <f t="shared" si="11"/>
        <v>4.4000000000000004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4.4000000000000004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4.4000000000000004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274</v>
      </c>
      <c r="S189" s="172">
        <f>'Alim -Surf'!R32</f>
        <v>2</v>
      </c>
      <c r="T189" s="172">
        <f>VLOOKUP(R189,[1]MEP!$A$4:$M$300,13)</f>
        <v>3</v>
      </c>
      <c r="U189" s="172">
        <f t="shared" si="10"/>
        <v>2</v>
      </c>
      <c r="V189" s="172">
        <f t="shared" si="11"/>
        <v>2</v>
      </c>
      <c r="W189" s="172">
        <f t="shared" si="12"/>
        <v>2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22.9</v>
      </c>
      <c r="V228" s="61">
        <f t="shared" ref="V228:W228" si="22">SUM(V164:V227)</f>
        <v>22.9</v>
      </c>
      <c r="W228" s="61">
        <f t="shared" si="22"/>
        <v>15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0</v>
      </c>
      <c r="AI228" s="61">
        <f t="shared" si="24"/>
        <v>0</v>
      </c>
      <c r="AJ228" s="61">
        <f t="shared" si="24"/>
        <v>22.9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I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0</v>
      </c>
      <c r="D3" s="176">
        <f t="shared" si="0"/>
        <v>0</v>
      </c>
      <c r="E3" s="176">
        <f t="shared" si="0"/>
        <v>0</v>
      </c>
      <c r="F3" s="176">
        <f t="shared" si="0"/>
        <v>0</v>
      </c>
      <c r="G3" s="176">
        <f t="shared" si="0"/>
        <v>0</v>
      </c>
      <c r="H3" s="176">
        <f t="shared" si="0"/>
        <v>0</v>
      </c>
      <c r="I3" s="176">
        <f t="shared" si="0"/>
        <v>0</v>
      </c>
      <c r="J3" s="176">
        <f t="shared" si="0"/>
        <v>0</v>
      </c>
      <c r="K3" s="176">
        <f t="shared" si="0"/>
        <v>0</v>
      </c>
      <c r="L3" s="176">
        <f t="shared" si="0"/>
        <v>0</v>
      </c>
      <c r="M3" s="176">
        <f t="shared" si="0"/>
        <v>0</v>
      </c>
      <c r="N3" s="176">
        <f t="shared" si="0"/>
        <v>0</v>
      </c>
      <c r="O3" s="176">
        <f t="shared" si="0"/>
        <v>0</v>
      </c>
      <c r="P3" s="176">
        <f t="shared" si="0"/>
        <v>0</v>
      </c>
      <c r="Q3" s="176">
        <f t="shared" si="0"/>
        <v>0</v>
      </c>
      <c r="R3" s="176">
        <f t="shared" si="0"/>
        <v>0</v>
      </c>
      <c r="S3" s="176">
        <f t="shared" si="0"/>
        <v>0</v>
      </c>
      <c r="T3" s="176">
        <f t="shared" si="0"/>
        <v>0</v>
      </c>
      <c r="U3" s="176">
        <f t="shared" si="0"/>
        <v>0</v>
      </c>
      <c r="V3" s="176">
        <f t="shared" si="0"/>
        <v>0</v>
      </c>
      <c r="W3" s="176">
        <f t="shared" si="0"/>
        <v>0</v>
      </c>
      <c r="X3" s="176">
        <f t="shared" si="0"/>
        <v>0</v>
      </c>
      <c r="Y3" s="176">
        <f t="shared" si="0"/>
        <v>0</v>
      </c>
      <c r="Z3" s="176">
        <f t="shared" si="0"/>
        <v>0</v>
      </c>
      <c r="AB3" s="32"/>
      <c r="AC3" s="5"/>
      <c r="AD3" s="275"/>
      <c r="AE3" s="275"/>
      <c r="AF3" s="275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0</v>
      </c>
      <c r="D4" s="176">
        <f t="shared" ref="D4:Z4" si="1">COUNTIF(D81:D90,2)</f>
        <v>0</v>
      </c>
      <c r="E4" s="176">
        <f t="shared" si="1"/>
        <v>0</v>
      </c>
      <c r="F4" s="176">
        <f t="shared" si="1"/>
        <v>0</v>
      </c>
      <c r="G4" s="176">
        <f t="shared" si="1"/>
        <v>0</v>
      </c>
      <c r="H4" s="176">
        <f t="shared" si="1"/>
        <v>0</v>
      </c>
      <c r="I4" s="176">
        <f t="shared" si="1"/>
        <v>0</v>
      </c>
      <c r="J4" s="176">
        <f t="shared" si="1"/>
        <v>0</v>
      </c>
      <c r="K4" s="176">
        <f t="shared" si="1"/>
        <v>0</v>
      </c>
      <c r="L4" s="176">
        <f t="shared" si="1"/>
        <v>0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0</v>
      </c>
      <c r="W4" s="176">
        <f t="shared" si="1"/>
        <v>0</v>
      </c>
      <c r="X4" s="176">
        <f t="shared" si="1"/>
        <v>0</v>
      </c>
      <c r="Y4" s="176">
        <f t="shared" si="1"/>
        <v>0</v>
      </c>
      <c r="Z4" s="176">
        <f t="shared" si="1"/>
        <v>0</v>
      </c>
      <c r="AB4" s="32"/>
      <c r="AC4" s="5"/>
      <c r="AD4" s="275"/>
      <c r="AE4" s="275"/>
      <c r="AF4" s="275"/>
      <c r="AO4" s="14" t="s">
        <v>683</v>
      </c>
      <c r="AP4" s="30">
        <f>SUM(BG31:BI31)</f>
        <v>3438</v>
      </c>
      <c r="AQ4">
        <f>SUM(BJ31:BL31)</f>
        <v>13.400000000000002</v>
      </c>
      <c r="AV4" s="30">
        <f>Parcellaire!A2</f>
        <v>2</v>
      </c>
      <c r="AW4" s="30">
        <f>Parcellaire!B2</f>
        <v>2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0</v>
      </c>
      <c r="H5" s="176">
        <f t="shared" si="9"/>
        <v>0</v>
      </c>
      <c r="I5" s="176">
        <f t="shared" si="9"/>
        <v>0</v>
      </c>
      <c r="J5" s="176">
        <f t="shared" si="9"/>
        <v>0</v>
      </c>
      <c r="K5" s="176">
        <f t="shared" si="9"/>
        <v>0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0</v>
      </c>
      <c r="W5" s="176">
        <f t="shared" si="9"/>
        <v>0</v>
      </c>
      <c r="X5" s="176">
        <f t="shared" si="9"/>
        <v>0</v>
      </c>
      <c r="Y5" s="176">
        <f t="shared" si="9"/>
        <v>0</v>
      </c>
      <c r="Z5" s="176">
        <f t="shared" si="9"/>
        <v>0</v>
      </c>
      <c r="AB5" s="32"/>
      <c r="AC5" s="5"/>
      <c r="AD5" s="275"/>
      <c r="AE5" s="275"/>
      <c r="AF5" s="275"/>
      <c r="AI5" s="40" t="s">
        <v>1428</v>
      </c>
      <c r="AJ5" s="30">
        <f>MAX(C203:Z203)</f>
        <v>0</v>
      </c>
      <c r="AO5" s="14" t="s">
        <v>685</v>
      </c>
      <c r="AP5" s="30">
        <f>BI31</f>
        <v>0</v>
      </c>
      <c r="AV5" s="30">
        <f>Parcellaire!A3</f>
        <v>3</v>
      </c>
      <c r="AW5" s="30">
        <f>Parcellaire!B3</f>
        <v>2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0</v>
      </c>
      <c r="BJ5" s="172">
        <f t="shared" si="6"/>
        <v>0</v>
      </c>
      <c r="BK5" s="172">
        <f t="shared" si="7"/>
        <v>0</v>
      </c>
      <c r="BL5" s="172">
        <f t="shared" si="8"/>
        <v>0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0</v>
      </c>
      <c r="O7" s="176">
        <f t="shared" si="13"/>
        <v>0</v>
      </c>
      <c r="P7" s="176">
        <f t="shared" si="13"/>
        <v>0</v>
      </c>
      <c r="Q7" s="176">
        <f t="shared" si="13"/>
        <v>0</v>
      </c>
      <c r="R7" s="176">
        <f t="shared" si="13"/>
        <v>0</v>
      </c>
      <c r="S7" s="176">
        <f t="shared" si="13"/>
        <v>0</v>
      </c>
      <c r="T7" s="176">
        <f t="shared" si="13"/>
        <v>0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5</v>
      </c>
      <c r="AW7" s="30">
        <f>Parcellaire!B5</f>
        <v>2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0</v>
      </c>
      <c r="BC7" s="30">
        <f>ROUND(Parcellaire!U5,0)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10"/>
        <v>AU</v>
      </c>
      <c r="BG7" s="172">
        <f t="shared" si="11"/>
        <v>0</v>
      </c>
      <c r="BH7" s="172">
        <f t="shared" si="4"/>
        <v>0</v>
      </c>
      <c r="BI7" s="172">
        <f t="shared" si="5"/>
        <v>0</v>
      </c>
      <c r="BJ7" s="172">
        <f t="shared" si="6"/>
        <v>0</v>
      </c>
      <c r="BK7" s="172">
        <f t="shared" si="7"/>
        <v>0</v>
      </c>
      <c r="BL7" s="172">
        <f t="shared" si="8"/>
        <v>0</v>
      </c>
    </row>
    <row r="8" spans="1:64" x14ac:dyDescent="0.25">
      <c r="A8" s="14" t="s">
        <v>690</v>
      </c>
      <c r="B8" t="s">
        <v>568</v>
      </c>
      <c r="C8" s="176">
        <f>(C3+C4)*[1]Protect!$B$12</f>
        <v>0</v>
      </c>
      <c r="D8" s="176">
        <f>(D3+D4)*[1]Protect!$B$12</f>
        <v>0</v>
      </c>
      <c r="E8" s="176">
        <f>(E3+E4)*[1]Protect!$B$12</f>
        <v>0</v>
      </c>
      <c r="F8" s="176">
        <f>(F3+F4)*[1]Protect!$B$12</f>
        <v>0</v>
      </c>
      <c r="G8" s="176">
        <f>(G3+G4)*[1]Protect!$B$12</f>
        <v>0</v>
      </c>
      <c r="H8" s="176">
        <f>(H3+H4)*[1]Protect!$B$12</f>
        <v>0</v>
      </c>
      <c r="I8" s="176">
        <f>(I3+I4)*[1]Protect!$B$12</f>
        <v>0</v>
      </c>
      <c r="J8" s="176">
        <f>(J3+J4)*[1]Protect!$B$12</f>
        <v>0</v>
      </c>
      <c r="K8" s="176">
        <f>(K3+K4)*[1]Protect!$B$12</f>
        <v>0</v>
      </c>
      <c r="L8" s="176">
        <f>(L3+L4)*[1]Protect!$B$12</f>
        <v>0</v>
      </c>
      <c r="M8" s="176">
        <f>(M3+M4)*[1]Protect!$B$12</f>
        <v>0</v>
      </c>
      <c r="N8" s="176">
        <f>(N3+N4)*[1]Protect!$B$12</f>
        <v>0</v>
      </c>
      <c r="O8" s="176">
        <f>(O3+O4)*[1]Protect!$B$12</f>
        <v>0</v>
      </c>
      <c r="P8" s="176">
        <f>(P3+P4)*[1]Protect!$B$12</f>
        <v>0</v>
      </c>
      <c r="Q8" s="176">
        <f>(Q3+Q4)*[1]Protect!$B$12</f>
        <v>0</v>
      </c>
      <c r="R8" s="176">
        <f>(R3+R4)*[1]Protect!$B$12</f>
        <v>0</v>
      </c>
      <c r="S8" s="176">
        <f>(S3+S4)*[1]Protect!$B$12</f>
        <v>0</v>
      </c>
      <c r="T8" s="176">
        <f>(T3+T4)*[1]Protect!$B$12</f>
        <v>0</v>
      </c>
      <c r="U8" s="176">
        <f>(U3+U4)*[1]Protect!$B$12</f>
        <v>0</v>
      </c>
      <c r="V8" s="176">
        <f>(V3+V4)*[1]Protect!$B$12</f>
        <v>0</v>
      </c>
      <c r="W8" s="176">
        <f>(W3+W4)*[1]Protect!$B$12</f>
        <v>0</v>
      </c>
      <c r="X8" s="176">
        <f>(X3+X4)*[1]Protect!$B$12</f>
        <v>0</v>
      </c>
      <c r="Y8" s="176">
        <f>(Y3+Y4)*[1]Protect!$B$12</f>
        <v>0</v>
      </c>
      <c r="Z8" s="176">
        <f>(Z3+Z4)*[1]Protect!$B$12</f>
        <v>0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2</v>
      </c>
      <c r="AO8" s="14"/>
      <c r="AV8" s="30">
        <f>Parcellaire!A6</f>
        <v>6</v>
      </c>
      <c r="AW8" s="30">
        <f>Parcellaire!B6</f>
        <v>2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2">
        <f t="shared" si="11"/>
        <v>0</v>
      </c>
      <c r="BH8" s="172">
        <f t="shared" si="4"/>
        <v>0</v>
      </c>
      <c r="BI8" s="172">
        <f t="shared" si="5"/>
        <v>0</v>
      </c>
      <c r="BJ8" s="172">
        <f t="shared" si="6"/>
        <v>0</v>
      </c>
      <c r="BK8" s="172">
        <f t="shared" si="7"/>
        <v>0</v>
      </c>
      <c r="BL8" s="172">
        <f t="shared" si="8"/>
        <v>0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0</v>
      </c>
      <c r="H9" s="176">
        <f>H5*[1]Protect!$B$13</f>
        <v>0</v>
      </c>
      <c r="I9" s="176">
        <f>I5*[1]Protect!$B$13</f>
        <v>0</v>
      </c>
      <c r="J9" s="176">
        <f>J5*[1]Protect!$B$13</f>
        <v>0</v>
      </c>
      <c r="K9" s="176">
        <f>K5*[1]Protect!$B$13</f>
        <v>0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0</v>
      </c>
      <c r="W9" s="176">
        <f>W5*[1]Protect!$B$13</f>
        <v>0</v>
      </c>
      <c r="X9" s="176">
        <f>X5*[1]Protect!$B$13</f>
        <v>0</v>
      </c>
      <c r="Y9" s="176">
        <f>Y5*[1]Protect!$B$13</f>
        <v>0</v>
      </c>
      <c r="Z9" s="176">
        <f>Z5*[1]Protect!$B$13</f>
        <v>0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0</v>
      </c>
      <c r="D11" s="176">
        <f t="shared" ref="D11:Z11" si="14">SUM(D8:D10)</f>
        <v>0</v>
      </c>
      <c r="E11" s="176">
        <f t="shared" si="14"/>
        <v>0</v>
      </c>
      <c r="F11" s="176">
        <f t="shared" si="14"/>
        <v>0</v>
      </c>
      <c r="G11" s="176">
        <f t="shared" si="14"/>
        <v>0</v>
      </c>
      <c r="H11" s="176">
        <f t="shared" si="14"/>
        <v>0</v>
      </c>
      <c r="I11" s="176">
        <f t="shared" si="14"/>
        <v>0</v>
      </c>
      <c r="J11" s="176">
        <f t="shared" si="14"/>
        <v>0</v>
      </c>
      <c r="K11" s="176">
        <f t="shared" si="14"/>
        <v>0</v>
      </c>
      <c r="L11" s="176">
        <f t="shared" si="14"/>
        <v>0</v>
      </c>
      <c r="M11" s="176">
        <f t="shared" si="14"/>
        <v>0</v>
      </c>
      <c r="N11" s="176">
        <f t="shared" si="14"/>
        <v>0</v>
      </c>
      <c r="O11" s="176">
        <f t="shared" si="14"/>
        <v>0</v>
      </c>
      <c r="P11" s="176">
        <f t="shared" si="14"/>
        <v>0</v>
      </c>
      <c r="Q11" s="176">
        <f t="shared" si="14"/>
        <v>0</v>
      </c>
      <c r="R11" s="176">
        <f t="shared" si="14"/>
        <v>0</v>
      </c>
      <c r="S11" s="176">
        <f t="shared" si="14"/>
        <v>0</v>
      </c>
      <c r="T11" s="176">
        <f t="shared" si="14"/>
        <v>0</v>
      </c>
      <c r="U11" s="176">
        <f t="shared" si="14"/>
        <v>0</v>
      </c>
      <c r="V11" s="176">
        <f t="shared" si="14"/>
        <v>0</v>
      </c>
      <c r="W11" s="176">
        <f t="shared" si="14"/>
        <v>0</v>
      </c>
      <c r="X11" s="176">
        <f t="shared" si="14"/>
        <v>0</v>
      </c>
      <c r="Y11" s="176">
        <f t="shared" si="14"/>
        <v>0</v>
      </c>
      <c r="Z11" s="176">
        <f t="shared" si="14"/>
        <v>0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0</v>
      </c>
      <c r="O12" s="176">
        <f>O7*[1]Protect!$B$15</f>
        <v>0</v>
      </c>
      <c r="P12" s="176">
        <f>P7*[1]Protect!$B$15</f>
        <v>0</v>
      </c>
      <c r="Q12" s="176">
        <f>Q7*[1]Protect!$B$15</f>
        <v>0</v>
      </c>
      <c r="R12" s="176">
        <f>R7*[1]Protect!$B$15</f>
        <v>0</v>
      </c>
      <c r="S12" s="176">
        <f>S7*[1]Protect!$B$15</f>
        <v>0</v>
      </c>
      <c r="T12" s="176">
        <f>T7*[1]Protect!$B$15</f>
        <v>0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0</v>
      </c>
      <c r="D13" s="176">
        <f t="shared" ref="D13:Z13" si="15">D11+D12</f>
        <v>0</v>
      </c>
      <c r="E13" s="176">
        <f t="shared" si="15"/>
        <v>0</v>
      </c>
      <c r="F13" s="176">
        <f t="shared" si="15"/>
        <v>0</v>
      </c>
      <c r="G13" s="176">
        <f t="shared" si="15"/>
        <v>0</v>
      </c>
      <c r="H13" s="176">
        <f t="shared" si="15"/>
        <v>0</v>
      </c>
      <c r="I13" s="176">
        <f t="shared" si="15"/>
        <v>0</v>
      </c>
      <c r="J13" s="176">
        <f t="shared" si="15"/>
        <v>0</v>
      </c>
      <c r="K13" s="176">
        <f t="shared" si="15"/>
        <v>0</v>
      </c>
      <c r="L13" s="176">
        <f t="shared" si="15"/>
        <v>0</v>
      </c>
      <c r="M13" s="176">
        <f t="shared" si="15"/>
        <v>0</v>
      </c>
      <c r="N13" s="176">
        <f t="shared" si="15"/>
        <v>0</v>
      </c>
      <c r="O13" s="176">
        <f t="shared" si="15"/>
        <v>0</v>
      </c>
      <c r="P13" s="176">
        <f t="shared" si="15"/>
        <v>0</v>
      </c>
      <c r="Q13" s="176">
        <f t="shared" si="15"/>
        <v>0</v>
      </c>
      <c r="R13" s="176">
        <f t="shared" si="15"/>
        <v>0</v>
      </c>
      <c r="S13" s="176">
        <f t="shared" si="15"/>
        <v>0</v>
      </c>
      <c r="T13" s="176">
        <f t="shared" si="15"/>
        <v>0</v>
      </c>
      <c r="U13" s="176">
        <f t="shared" si="15"/>
        <v>0</v>
      </c>
      <c r="V13" s="176">
        <f t="shared" si="15"/>
        <v>0</v>
      </c>
      <c r="W13" s="176">
        <f t="shared" si="15"/>
        <v>0</v>
      </c>
      <c r="X13" s="176">
        <f t="shared" si="15"/>
        <v>0</v>
      </c>
      <c r="Y13" s="176">
        <f t="shared" si="15"/>
        <v>0</v>
      </c>
      <c r="Z13" s="176">
        <f t="shared" si="15"/>
        <v>0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0</v>
      </c>
      <c r="D15" s="172">
        <f t="shared" si="16"/>
        <v>0</v>
      </c>
      <c r="E15" s="172">
        <f t="shared" si="16"/>
        <v>0</v>
      </c>
      <c r="F15" s="172">
        <f t="shared" si="16"/>
        <v>0</v>
      </c>
      <c r="G15" s="172">
        <f t="shared" si="16"/>
        <v>0</v>
      </c>
      <c r="H15" s="172">
        <f t="shared" si="16"/>
        <v>0</v>
      </c>
      <c r="I15" s="172">
        <f t="shared" si="16"/>
        <v>0</v>
      </c>
      <c r="J15" s="172">
        <f t="shared" si="16"/>
        <v>0</v>
      </c>
      <c r="K15" s="172">
        <f t="shared" si="16"/>
        <v>0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0</v>
      </c>
      <c r="W15" s="172">
        <f t="shared" si="16"/>
        <v>0</v>
      </c>
      <c r="X15" s="172">
        <f t="shared" si="16"/>
        <v>0</v>
      </c>
      <c r="Y15" s="172">
        <f t="shared" si="16"/>
        <v>0</v>
      </c>
      <c r="Z15" s="172">
        <f t="shared" si="16"/>
        <v>0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4</v>
      </c>
      <c r="D16" s="172">
        <f t="shared" si="17"/>
        <v>4</v>
      </c>
      <c r="E16" s="172">
        <f t="shared" si="17"/>
        <v>4</v>
      </c>
      <c r="F16" s="172">
        <f t="shared" si="17"/>
        <v>4</v>
      </c>
      <c r="G16" s="172">
        <f t="shared" si="17"/>
        <v>4</v>
      </c>
      <c r="H16" s="172">
        <f t="shared" si="17"/>
        <v>4</v>
      </c>
      <c r="I16" s="172">
        <f t="shared" si="17"/>
        <v>4</v>
      </c>
      <c r="J16" s="172">
        <f t="shared" si="17"/>
        <v>4</v>
      </c>
      <c r="K16" s="172">
        <f t="shared" si="17"/>
        <v>4</v>
      </c>
      <c r="L16" s="172">
        <f t="shared" si="17"/>
        <v>2</v>
      </c>
      <c r="M16" s="172">
        <f t="shared" si="17"/>
        <v>2</v>
      </c>
      <c r="N16" s="172">
        <f t="shared" si="17"/>
        <v>2</v>
      </c>
      <c r="O16" s="172">
        <f t="shared" si="17"/>
        <v>2</v>
      </c>
      <c r="P16" s="172">
        <f t="shared" si="17"/>
        <v>2</v>
      </c>
      <c r="Q16" s="172">
        <f t="shared" si="17"/>
        <v>2</v>
      </c>
      <c r="R16" s="172">
        <f t="shared" si="17"/>
        <v>2</v>
      </c>
      <c r="S16" s="172">
        <f t="shared" si="17"/>
        <v>2</v>
      </c>
      <c r="T16" s="172">
        <f t="shared" si="17"/>
        <v>2</v>
      </c>
      <c r="U16" s="172">
        <f t="shared" si="17"/>
        <v>2</v>
      </c>
      <c r="V16" s="172">
        <f t="shared" si="17"/>
        <v>4</v>
      </c>
      <c r="W16" s="172">
        <f t="shared" si="17"/>
        <v>4</v>
      </c>
      <c r="X16" s="172">
        <f t="shared" si="17"/>
        <v>4</v>
      </c>
      <c r="Y16" s="172">
        <f t="shared" si="17"/>
        <v>4</v>
      </c>
      <c r="Z16" s="172">
        <f t="shared" si="17"/>
        <v>4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0</v>
      </c>
      <c r="D17" s="172">
        <f t="shared" si="18"/>
        <v>0</v>
      </c>
      <c r="E17" s="172">
        <f t="shared" si="18"/>
        <v>0</v>
      </c>
      <c r="F17" s="172">
        <f t="shared" si="18"/>
        <v>0</v>
      </c>
      <c r="G17" s="172">
        <f t="shared" si="18"/>
        <v>0</v>
      </c>
      <c r="H17" s="172">
        <f t="shared" si="18"/>
        <v>0</v>
      </c>
      <c r="I17" s="172">
        <f t="shared" si="18"/>
        <v>0</v>
      </c>
      <c r="J17" s="172">
        <f t="shared" si="18"/>
        <v>0</v>
      </c>
      <c r="K17" s="172">
        <f t="shared" si="18"/>
        <v>0</v>
      </c>
      <c r="L17" s="172">
        <f t="shared" si="18"/>
        <v>0</v>
      </c>
      <c r="M17" s="172">
        <f t="shared" si="18"/>
        <v>0</v>
      </c>
      <c r="N17" s="172">
        <f t="shared" si="18"/>
        <v>0</v>
      </c>
      <c r="O17" s="172">
        <f t="shared" si="18"/>
        <v>0</v>
      </c>
      <c r="P17" s="172">
        <f t="shared" si="18"/>
        <v>0</v>
      </c>
      <c r="Q17" s="172">
        <f t="shared" si="18"/>
        <v>0</v>
      </c>
      <c r="R17" s="172">
        <f t="shared" si="18"/>
        <v>0</v>
      </c>
      <c r="S17" s="172">
        <f t="shared" si="18"/>
        <v>0</v>
      </c>
      <c r="T17" s="172">
        <f t="shared" si="18"/>
        <v>0</v>
      </c>
      <c r="U17" s="172">
        <f t="shared" si="18"/>
        <v>0</v>
      </c>
      <c r="V17" s="172">
        <f t="shared" si="18"/>
        <v>0</v>
      </c>
      <c r="W17" s="172">
        <f t="shared" si="18"/>
        <v>0</v>
      </c>
      <c r="X17" s="172">
        <f t="shared" si="18"/>
        <v>0</v>
      </c>
      <c r="Y17" s="172">
        <f t="shared" si="18"/>
        <v>0</v>
      </c>
      <c r="Z17" s="172">
        <f t="shared" si="18"/>
        <v>0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1</v>
      </c>
      <c r="D18" s="61">
        <f t="shared" ref="D18:Z18" si="19">IF(AND(D15=0,(D16+D17)&gt;0),1,IF(AND(D15&gt;0,(D16+D17)&gt;0),D15+1,D15))</f>
        <v>1</v>
      </c>
      <c r="E18" s="61">
        <f t="shared" si="19"/>
        <v>1</v>
      </c>
      <c r="F18" s="61">
        <f t="shared" si="19"/>
        <v>1</v>
      </c>
      <c r="G18" s="61">
        <f t="shared" si="19"/>
        <v>1</v>
      </c>
      <c r="H18" s="61">
        <f t="shared" si="19"/>
        <v>1</v>
      </c>
      <c r="I18" s="61">
        <f t="shared" si="19"/>
        <v>1</v>
      </c>
      <c r="J18" s="61">
        <f t="shared" si="19"/>
        <v>1</v>
      </c>
      <c r="K18" s="61">
        <f t="shared" si="19"/>
        <v>1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1</v>
      </c>
      <c r="W18" s="61">
        <f t="shared" si="19"/>
        <v>1</v>
      </c>
      <c r="X18" s="61">
        <f t="shared" si="19"/>
        <v>1</v>
      </c>
      <c r="Y18" s="61">
        <f t="shared" si="19"/>
        <v>1</v>
      </c>
      <c r="Z18" s="61">
        <f t="shared" si="19"/>
        <v>1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2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/>
      </c>
      <c r="BE18" s="30" t="str">
        <f>IF(AW18=2,"",VLOOKUP(BD18,[1]MEP!$AC$5:$AD$10,2))</f>
        <v/>
      </c>
      <c r="BF18" s="30" t="str">
        <f t="shared" si="10"/>
        <v>AU</v>
      </c>
      <c r="BG18" s="172">
        <f t="shared" si="11"/>
        <v>0</v>
      </c>
      <c r="BH18" s="172">
        <f t="shared" si="4"/>
        <v>0</v>
      </c>
      <c r="BI18" s="172">
        <f t="shared" si="5"/>
        <v>0</v>
      </c>
      <c r="BJ18" s="172">
        <f t="shared" si="6"/>
        <v>0</v>
      </c>
      <c r="BK18" s="172">
        <f t="shared" si="7"/>
        <v>0</v>
      </c>
      <c r="BL18" s="172">
        <f t="shared" si="8"/>
        <v>0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2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0</v>
      </c>
      <c r="BC19" s="30">
        <f>ROUND(Parcellaire!U17,0)</f>
        <v>0</v>
      </c>
      <c r="BD19" s="30" t="str">
        <f>IF(AW19=2,"",VLOOKUP(AY19,[1]MEP!$X$5:$AA$250,4))</f>
        <v/>
      </c>
      <c r="BE19" s="30" t="str">
        <f>IF(AW19=2,"",VLOOKUP(BD19,[1]MEP!$AC$5:$AD$10,2))</f>
        <v/>
      </c>
      <c r="BF19" s="30" t="str">
        <f t="shared" si="10"/>
        <v>AU</v>
      </c>
      <c r="BG19" s="172">
        <f t="shared" si="11"/>
        <v>0</v>
      </c>
      <c r="BH19" s="172">
        <f t="shared" si="4"/>
        <v>0</v>
      </c>
      <c r="BI19" s="172">
        <f t="shared" si="5"/>
        <v>0</v>
      </c>
      <c r="BJ19" s="172">
        <f t="shared" si="6"/>
        <v>0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0</v>
      </c>
      <c r="O20" s="172">
        <f t="shared" si="21"/>
        <v>0</v>
      </c>
      <c r="P20" s="172">
        <f t="shared" si="21"/>
        <v>0</v>
      </c>
      <c r="Q20" s="172">
        <f t="shared" si="21"/>
        <v>0</v>
      </c>
      <c r="R20" s="172">
        <f t="shared" si="21"/>
        <v>0</v>
      </c>
      <c r="S20" s="172">
        <f t="shared" si="21"/>
        <v>0</v>
      </c>
      <c r="T20" s="172">
        <f t="shared" si="21"/>
        <v>0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0</v>
      </c>
      <c r="AE20" s="63">
        <v>0</v>
      </c>
      <c r="AF20" s="63">
        <f>SUM(AD20:AE20)</f>
        <v>0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2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0</v>
      </c>
      <c r="O21" s="61">
        <f>IF(Protection!O20&gt;0,Scénario!$K$58,0)</f>
        <v>0</v>
      </c>
      <c r="P21" s="61">
        <f>IF(Protection!P20&gt;0,Scénario!$K$58,0)</f>
        <v>0</v>
      </c>
      <c r="Q21" s="61">
        <f>IF(Protection!Q20&gt;0,Scénario!$K$58,0)</f>
        <v>0</v>
      </c>
      <c r="R21" s="61">
        <f>IF(Protection!R20&gt;0,Scénario!$K$58,0)</f>
        <v>0</v>
      </c>
      <c r="S21" s="61">
        <f>IF(Protection!S20&gt;0,Scénario!$K$58,0)</f>
        <v>0</v>
      </c>
      <c r="T21" s="61">
        <f>IF(Protection!T20&gt;0,Scénario!$K$58,0)</f>
        <v>0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0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1</v>
      </c>
      <c r="D22" s="61">
        <f t="shared" ref="D22:Z22" si="22">D18+D19+D21</f>
        <v>1</v>
      </c>
      <c r="E22" s="61">
        <f t="shared" si="22"/>
        <v>1</v>
      </c>
      <c r="F22" s="61">
        <f t="shared" si="22"/>
        <v>1</v>
      </c>
      <c r="G22" s="61">
        <f t="shared" si="22"/>
        <v>1</v>
      </c>
      <c r="H22" s="61">
        <f t="shared" si="22"/>
        <v>1</v>
      </c>
      <c r="I22" s="61">
        <f t="shared" si="22"/>
        <v>1</v>
      </c>
      <c r="J22" s="61">
        <f t="shared" si="22"/>
        <v>1</v>
      </c>
      <c r="K22" s="61">
        <f t="shared" si="22"/>
        <v>1</v>
      </c>
      <c r="L22" s="61">
        <f t="shared" si="22"/>
        <v>1</v>
      </c>
      <c r="M22" s="61">
        <f t="shared" si="22"/>
        <v>1</v>
      </c>
      <c r="N22" s="61">
        <f t="shared" si="22"/>
        <v>1</v>
      </c>
      <c r="O22" s="61">
        <f t="shared" si="22"/>
        <v>1</v>
      </c>
      <c r="P22" s="61">
        <f t="shared" si="22"/>
        <v>1</v>
      </c>
      <c r="Q22" s="61">
        <f t="shared" si="22"/>
        <v>1</v>
      </c>
      <c r="R22" s="61">
        <f t="shared" si="22"/>
        <v>1</v>
      </c>
      <c r="S22" s="61">
        <f t="shared" si="22"/>
        <v>1</v>
      </c>
      <c r="T22" s="61">
        <f t="shared" si="22"/>
        <v>1</v>
      </c>
      <c r="U22" s="61">
        <f t="shared" si="22"/>
        <v>1</v>
      </c>
      <c r="V22" s="61">
        <f t="shared" si="22"/>
        <v>1</v>
      </c>
      <c r="W22" s="61">
        <f t="shared" si="22"/>
        <v>1</v>
      </c>
      <c r="X22" s="61">
        <f t="shared" si="22"/>
        <v>1</v>
      </c>
      <c r="Y22" s="61">
        <f t="shared" si="22"/>
        <v>1</v>
      </c>
      <c r="Z22" s="61">
        <f t="shared" si="22"/>
        <v>1</v>
      </c>
      <c r="AC22" s="14" t="s">
        <v>718</v>
      </c>
      <c r="AD22" s="63">
        <f>IF(AND(Scénario!K88=1,Troupeau!B3="OL"),Protection!AP6,0)</f>
        <v>0</v>
      </c>
      <c r="AE22" s="63">
        <f>IF(AND(LEFT(Scénario!K12,2)="OL",Troupeau!C3&lt;&gt;"",Scénario!K91=1),Protection!AP5+Protection!AP3,0)</f>
        <v>0</v>
      </c>
      <c r="AF22" s="63">
        <f>SUM(AD22:AE22)</f>
        <v>0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0</v>
      </c>
      <c r="J25" s="176">
        <f t="shared" si="23"/>
        <v>0</v>
      </c>
      <c r="K25" s="176">
        <f t="shared" si="23"/>
        <v>0</v>
      </c>
      <c r="L25" s="176">
        <f t="shared" si="23"/>
        <v>0</v>
      </c>
      <c r="M25" s="176">
        <f t="shared" si="23"/>
        <v>0</v>
      </c>
      <c r="N25" s="176">
        <f t="shared" si="23"/>
        <v>0</v>
      </c>
      <c r="O25" s="176">
        <f t="shared" si="23"/>
        <v>0</v>
      </c>
      <c r="P25" s="176">
        <f t="shared" si="23"/>
        <v>0</v>
      </c>
      <c r="Q25" s="176">
        <f t="shared" si="23"/>
        <v>0</v>
      </c>
      <c r="R25" s="176">
        <f t="shared" si="23"/>
        <v>0</v>
      </c>
      <c r="S25" s="176">
        <f t="shared" si="23"/>
        <v>0</v>
      </c>
      <c r="T25" s="176">
        <f t="shared" si="23"/>
        <v>0</v>
      </c>
      <c r="U25" s="176">
        <f t="shared" si="23"/>
        <v>0</v>
      </c>
      <c r="V25" s="176">
        <f t="shared" si="23"/>
        <v>0</v>
      </c>
      <c r="W25" s="176">
        <f t="shared" si="23"/>
        <v>0</v>
      </c>
      <c r="X25" s="176">
        <f t="shared" si="23"/>
        <v>0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0</v>
      </c>
      <c r="M26" s="176">
        <f t="shared" si="24"/>
        <v>0</v>
      </c>
      <c r="N26" s="176">
        <f t="shared" si="24"/>
        <v>0</v>
      </c>
      <c r="O26" s="176">
        <f t="shared" si="24"/>
        <v>0</v>
      </c>
      <c r="P26" s="176">
        <f t="shared" si="24"/>
        <v>0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0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0</v>
      </c>
      <c r="N28" s="176">
        <f t="shared" si="26"/>
        <v>0</v>
      </c>
      <c r="O28" s="176">
        <f t="shared" si="26"/>
        <v>0</v>
      </c>
      <c r="P28" s="176">
        <f t="shared" si="26"/>
        <v>0</v>
      </c>
      <c r="Q28" s="176">
        <f t="shared" si="26"/>
        <v>0</v>
      </c>
      <c r="R28" s="176">
        <f t="shared" si="26"/>
        <v>0</v>
      </c>
      <c r="S28" s="176">
        <f t="shared" si="26"/>
        <v>0</v>
      </c>
      <c r="T28" s="176">
        <f t="shared" si="26"/>
        <v>0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0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0</v>
      </c>
      <c r="J29" s="176">
        <f>J25*[1]Protect!$B$12</f>
        <v>0</v>
      </c>
      <c r="K29" s="176">
        <f>K25*[1]Protect!$B$12</f>
        <v>0</v>
      </c>
      <c r="L29" s="176">
        <f>L25*[1]Protect!$B$12</f>
        <v>0</v>
      </c>
      <c r="M29" s="176">
        <f>M25*[1]Protect!$B$12</f>
        <v>0</v>
      </c>
      <c r="N29" s="176">
        <f>N25*[1]Protect!$B$12</f>
        <v>0</v>
      </c>
      <c r="O29" s="176">
        <f>O25*[1]Protect!$B$12</f>
        <v>0</v>
      </c>
      <c r="P29" s="176">
        <f>P25*[1]Protect!$B$12</f>
        <v>0</v>
      </c>
      <c r="Q29" s="176">
        <f>Q25*[1]Protect!$B$12</f>
        <v>0</v>
      </c>
      <c r="R29" s="176">
        <f>R25*[1]Protect!$B$12</f>
        <v>0</v>
      </c>
      <c r="S29" s="176">
        <f>S25*[1]Protect!$B$12</f>
        <v>0</v>
      </c>
      <c r="T29" s="176">
        <f>T25*[1]Protect!$B$12</f>
        <v>0</v>
      </c>
      <c r="U29" s="176">
        <f>U25*[1]Protect!$B$12</f>
        <v>0</v>
      </c>
      <c r="V29" s="176">
        <f>V25*[1]Protect!$B$12</f>
        <v>0</v>
      </c>
      <c r="W29" s="176">
        <f>W25*[1]Protect!$B$12</f>
        <v>0</v>
      </c>
      <c r="X29" s="176">
        <f>X25*[1]Protect!$B$12</f>
        <v>0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0</v>
      </c>
      <c r="M30" s="176">
        <f>M26*[1]Protect!$B$13</f>
        <v>0</v>
      </c>
      <c r="N30" s="176">
        <f>N26*[1]Protect!$B$13</f>
        <v>0</v>
      </c>
      <c r="O30" s="176">
        <f>O26*[1]Protect!$B$13</f>
        <v>0</v>
      </c>
      <c r="P30" s="176">
        <f>P26*[1]Protect!$B$13</f>
        <v>0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0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0</v>
      </c>
      <c r="BH31" s="61">
        <f t="shared" ref="BH31:BK31" si="27">SUM(BH3:BH30)</f>
        <v>3438</v>
      </c>
      <c r="BI31" s="61">
        <f t="shared" si="27"/>
        <v>0</v>
      </c>
      <c r="BJ31" s="61">
        <f t="shared" si="27"/>
        <v>0</v>
      </c>
      <c r="BK31" s="61">
        <f t="shared" si="27"/>
        <v>13.400000000000002</v>
      </c>
      <c r="BL31" s="61">
        <f>SUM(BL3:BL30)</f>
        <v>0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0</v>
      </c>
      <c r="J32" s="176">
        <f t="shared" si="28"/>
        <v>0</v>
      </c>
      <c r="K32" s="176">
        <f t="shared" si="28"/>
        <v>0</v>
      </c>
      <c r="L32" s="176">
        <f t="shared" si="28"/>
        <v>0</v>
      </c>
      <c r="M32" s="176">
        <f t="shared" si="28"/>
        <v>0</v>
      </c>
      <c r="N32" s="176">
        <f t="shared" si="28"/>
        <v>0</v>
      </c>
      <c r="O32" s="176">
        <f t="shared" si="28"/>
        <v>0</v>
      </c>
      <c r="P32" s="176">
        <f t="shared" si="28"/>
        <v>0</v>
      </c>
      <c r="Q32" s="176">
        <f t="shared" si="28"/>
        <v>0</v>
      </c>
      <c r="R32" s="176">
        <f t="shared" si="28"/>
        <v>0</v>
      </c>
      <c r="S32" s="176">
        <f t="shared" si="28"/>
        <v>0</v>
      </c>
      <c r="T32" s="176">
        <f t="shared" si="28"/>
        <v>0</v>
      </c>
      <c r="U32" s="176">
        <f t="shared" si="28"/>
        <v>0</v>
      </c>
      <c r="V32" s="176">
        <f t="shared" si="28"/>
        <v>0</v>
      </c>
      <c r="W32" s="176">
        <f t="shared" si="28"/>
        <v>0</v>
      </c>
      <c r="X32" s="176">
        <f t="shared" si="28"/>
        <v>0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0</v>
      </c>
      <c r="N33" s="176">
        <f>N28*[1]Protect!$B$15</f>
        <v>0</v>
      </c>
      <c r="O33" s="176">
        <f>O28*[1]Protect!$B$15</f>
        <v>0</v>
      </c>
      <c r="P33" s="176">
        <f>P28*[1]Protect!$B$15</f>
        <v>0</v>
      </c>
      <c r="Q33" s="176">
        <f>Q28*[1]Protect!$B$15</f>
        <v>0</v>
      </c>
      <c r="R33" s="176">
        <f>R28*[1]Protect!$B$15</f>
        <v>0</v>
      </c>
      <c r="S33" s="176">
        <f>S28*[1]Protect!$B$15</f>
        <v>0</v>
      </c>
      <c r="T33" s="176">
        <f>T28*[1]Protect!$B$15</f>
        <v>0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0</v>
      </c>
      <c r="J34" s="176">
        <f t="shared" si="29"/>
        <v>0</v>
      </c>
      <c r="K34" s="176">
        <f t="shared" si="29"/>
        <v>0</v>
      </c>
      <c r="L34" s="176">
        <f t="shared" si="29"/>
        <v>0</v>
      </c>
      <c r="M34" s="176">
        <f t="shared" si="29"/>
        <v>0</v>
      </c>
      <c r="N34" s="176">
        <f t="shared" si="29"/>
        <v>0</v>
      </c>
      <c r="O34" s="176">
        <f t="shared" si="29"/>
        <v>0</v>
      </c>
      <c r="P34" s="176">
        <f t="shared" si="29"/>
        <v>0</v>
      </c>
      <c r="Q34" s="176">
        <f t="shared" si="29"/>
        <v>0</v>
      </c>
      <c r="R34" s="176">
        <f t="shared" si="29"/>
        <v>0</v>
      </c>
      <c r="S34" s="176">
        <f t="shared" si="29"/>
        <v>0</v>
      </c>
      <c r="T34" s="176">
        <f t="shared" si="29"/>
        <v>0</v>
      </c>
      <c r="U34" s="176">
        <f t="shared" si="29"/>
        <v>0</v>
      </c>
      <c r="V34" s="176">
        <f t="shared" si="29"/>
        <v>0</v>
      </c>
      <c r="W34" s="176">
        <f t="shared" si="29"/>
        <v>0</v>
      </c>
      <c r="X34" s="176">
        <f t="shared" si="29"/>
        <v>0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0</v>
      </c>
      <c r="J36" s="172">
        <f t="shared" si="30"/>
        <v>0</v>
      </c>
      <c r="K36" s="172">
        <f t="shared" si="30"/>
        <v>0</v>
      </c>
      <c r="L36" s="172">
        <f t="shared" si="30"/>
        <v>0</v>
      </c>
      <c r="M36" s="172">
        <f t="shared" si="30"/>
        <v>0</v>
      </c>
      <c r="N36" s="172">
        <f t="shared" si="30"/>
        <v>0</v>
      </c>
      <c r="O36" s="172">
        <f t="shared" si="30"/>
        <v>0</v>
      </c>
      <c r="P36" s="172">
        <f t="shared" si="30"/>
        <v>0</v>
      </c>
      <c r="Q36" s="172">
        <f t="shared" si="30"/>
        <v>0</v>
      </c>
      <c r="R36" s="172">
        <f t="shared" si="30"/>
        <v>0</v>
      </c>
      <c r="S36" s="172">
        <f t="shared" si="30"/>
        <v>0</v>
      </c>
      <c r="T36" s="172">
        <f t="shared" si="30"/>
        <v>0</v>
      </c>
      <c r="U36" s="172">
        <f t="shared" si="30"/>
        <v>0</v>
      </c>
      <c r="V36" s="172">
        <f t="shared" si="30"/>
        <v>0</v>
      </c>
      <c r="W36" s="172">
        <f t="shared" si="30"/>
        <v>0</v>
      </c>
      <c r="X36" s="172">
        <f t="shared" si="30"/>
        <v>0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3</v>
      </c>
      <c r="H37" s="172">
        <f t="shared" si="31"/>
        <v>3</v>
      </c>
      <c r="I37" s="172">
        <f t="shared" si="31"/>
        <v>3</v>
      </c>
      <c r="J37" s="172">
        <f t="shared" si="31"/>
        <v>3</v>
      </c>
      <c r="K37" s="172">
        <f t="shared" si="31"/>
        <v>3</v>
      </c>
      <c r="L37" s="172">
        <f t="shared" si="31"/>
        <v>3</v>
      </c>
      <c r="M37" s="172">
        <f t="shared" si="31"/>
        <v>3</v>
      </c>
      <c r="N37" s="172">
        <f t="shared" si="31"/>
        <v>3</v>
      </c>
      <c r="O37" s="172">
        <f t="shared" si="31"/>
        <v>3</v>
      </c>
      <c r="P37" s="172">
        <f t="shared" si="31"/>
        <v>3</v>
      </c>
      <c r="Q37" s="172">
        <f t="shared" si="31"/>
        <v>3</v>
      </c>
      <c r="R37" s="172">
        <f t="shared" si="31"/>
        <v>3</v>
      </c>
      <c r="S37" s="172">
        <f t="shared" si="31"/>
        <v>3</v>
      </c>
      <c r="T37" s="172">
        <f t="shared" si="31"/>
        <v>3</v>
      </c>
      <c r="U37" s="172">
        <f t="shared" si="31"/>
        <v>3</v>
      </c>
      <c r="V37" s="172">
        <f t="shared" si="31"/>
        <v>3</v>
      </c>
      <c r="W37" s="172">
        <f t="shared" si="31"/>
        <v>3</v>
      </c>
      <c r="X37" s="172">
        <f t="shared" si="31"/>
        <v>3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0</v>
      </c>
      <c r="H38" s="172">
        <f t="shared" si="32"/>
        <v>0</v>
      </c>
      <c r="I38" s="172">
        <f t="shared" si="32"/>
        <v>0</v>
      </c>
      <c r="J38" s="172">
        <f t="shared" si="32"/>
        <v>0</v>
      </c>
      <c r="K38" s="172">
        <f t="shared" si="32"/>
        <v>0</v>
      </c>
      <c r="L38" s="172">
        <f t="shared" si="32"/>
        <v>0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0</v>
      </c>
      <c r="V38" s="172">
        <f t="shared" si="32"/>
        <v>0</v>
      </c>
      <c r="W38" s="172">
        <f t="shared" si="32"/>
        <v>0</v>
      </c>
      <c r="X38" s="172">
        <f t="shared" si="32"/>
        <v>0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1</v>
      </c>
      <c r="J39" s="61">
        <f t="shared" si="33"/>
        <v>1</v>
      </c>
      <c r="K39" s="61">
        <f t="shared" si="33"/>
        <v>1</v>
      </c>
      <c r="L39" s="61">
        <f t="shared" si="33"/>
        <v>1</v>
      </c>
      <c r="M39" s="61">
        <f t="shared" si="33"/>
        <v>1</v>
      </c>
      <c r="N39" s="61">
        <f t="shared" si="33"/>
        <v>1</v>
      </c>
      <c r="O39" s="61">
        <f t="shared" si="33"/>
        <v>1</v>
      </c>
      <c r="P39" s="61">
        <f t="shared" si="33"/>
        <v>1</v>
      </c>
      <c r="Q39" s="61">
        <f t="shared" si="33"/>
        <v>1</v>
      </c>
      <c r="R39" s="61">
        <f t="shared" si="33"/>
        <v>1</v>
      </c>
      <c r="S39" s="61">
        <f t="shared" si="33"/>
        <v>1</v>
      </c>
      <c r="T39" s="61">
        <f t="shared" si="33"/>
        <v>1</v>
      </c>
      <c r="U39" s="61">
        <f t="shared" si="33"/>
        <v>1</v>
      </c>
      <c r="V39" s="61">
        <f t="shared" si="33"/>
        <v>1</v>
      </c>
      <c r="W39" s="61">
        <f t="shared" si="33"/>
        <v>1</v>
      </c>
      <c r="X39" s="61">
        <f t="shared" si="33"/>
        <v>1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0</v>
      </c>
      <c r="N41" s="172">
        <f t="shared" si="35"/>
        <v>0</v>
      </c>
      <c r="O41" s="172">
        <f t="shared" si="35"/>
        <v>0</v>
      </c>
      <c r="P41" s="172">
        <f t="shared" si="35"/>
        <v>0</v>
      </c>
      <c r="Q41" s="172">
        <f t="shared" si="35"/>
        <v>0</v>
      </c>
      <c r="R41" s="172">
        <f t="shared" si="35"/>
        <v>0</v>
      </c>
      <c r="S41" s="172">
        <f t="shared" si="35"/>
        <v>0</v>
      </c>
      <c r="T41" s="172">
        <f t="shared" si="35"/>
        <v>0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0</v>
      </c>
      <c r="N42" s="61">
        <f>IF(Protection!N41&gt;0,Scénario!$K$58,0)</f>
        <v>0</v>
      </c>
      <c r="O42" s="61">
        <f>IF(Protection!O41&gt;0,Scénario!$K$58,0)</f>
        <v>0</v>
      </c>
      <c r="P42" s="61">
        <f>IF(Protection!P41&gt;0,Scénario!$K$58,0)</f>
        <v>0</v>
      </c>
      <c r="Q42" s="61">
        <f>IF(Protection!Q41&gt;0,Scénario!$K$58,0)</f>
        <v>0</v>
      </c>
      <c r="R42" s="61">
        <f>IF(Protection!R41&gt;0,Scénario!$K$58,0)</f>
        <v>0</v>
      </c>
      <c r="S42" s="61">
        <f>IF(Protection!S41&gt;0,Scénario!$K$58,0)</f>
        <v>0</v>
      </c>
      <c r="T42" s="61">
        <f>IF(Protection!T41&gt;0,Scénario!$K$58,0)</f>
        <v>0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1</v>
      </c>
      <c r="J43" s="61">
        <f t="shared" si="36"/>
        <v>1</v>
      </c>
      <c r="K43" s="61">
        <f t="shared" si="36"/>
        <v>1</v>
      </c>
      <c r="L43" s="61">
        <f t="shared" si="36"/>
        <v>1</v>
      </c>
      <c r="M43" s="61">
        <f t="shared" si="36"/>
        <v>1</v>
      </c>
      <c r="N43" s="61">
        <f t="shared" si="36"/>
        <v>1</v>
      </c>
      <c r="O43" s="61">
        <f t="shared" si="36"/>
        <v>1</v>
      </c>
      <c r="P43" s="61">
        <f t="shared" si="36"/>
        <v>1</v>
      </c>
      <c r="Q43" s="61">
        <f t="shared" si="36"/>
        <v>1</v>
      </c>
      <c r="R43" s="61">
        <f t="shared" si="36"/>
        <v>1</v>
      </c>
      <c r="S43" s="61">
        <f t="shared" si="36"/>
        <v>1</v>
      </c>
      <c r="T43" s="61">
        <f t="shared" si="36"/>
        <v>1</v>
      </c>
      <c r="U43" s="61">
        <f t="shared" si="36"/>
        <v>1</v>
      </c>
      <c r="V43" s="61">
        <f t="shared" si="36"/>
        <v>1</v>
      </c>
      <c r="W43" s="61">
        <f t="shared" si="36"/>
        <v>1</v>
      </c>
      <c r="X43" s="61">
        <f t="shared" si="36"/>
        <v>1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1</v>
      </c>
      <c r="G68" s="172">
        <f>IF($AA68=0,99,IF(G81&gt;3,CdTrp1!F76,CdTrp1!F52))</f>
        <v>1</v>
      </c>
      <c r="H68" s="172">
        <f>IF($AA68=0,99,IF(H81&gt;3,CdTrp1!G76,CdTrp1!G52))</f>
        <v>1</v>
      </c>
      <c r="I68" s="172">
        <f>IF($AA68=0,99,IF(I81&gt;3,CdTrp1!H76,CdTrp1!H52))</f>
        <v>1</v>
      </c>
      <c r="J68" s="172">
        <f>IF($AA68=0,99,IF(J81&gt;3,CdTrp1!I76,CdTrp1!I52))</f>
        <v>1</v>
      </c>
      <c r="K68" s="172">
        <f>IF($AA68=0,99,IF(K81&gt;3,CdTrp1!J76,CdTrp1!J52))</f>
        <v>1</v>
      </c>
      <c r="L68" s="172">
        <f>IF($AA68=0,99,IF(L81&gt;3,CdTrp1!K76,CdTrp1!K52))</f>
        <v>1</v>
      </c>
      <c r="M68" s="172">
        <f>IF($AA68=0,99,IF(M81&gt;3,CdTrp1!L76,CdTrp1!L52))</f>
        <v>1</v>
      </c>
      <c r="N68" s="172">
        <f>IF($AA68=0,99,IF(N81&gt;3,CdTrp1!M76,CdTrp1!M52))</f>
        <v>1</v>
      </c>
      <c r="O68" s="172">
        <f>IF($AA68=0,99,IF(O81&gt;3,CdTrp1!N76,CdTrp1!N52))</f>
        <v>1</v>
      </c>
      <c r="P68" s="172">
        <f>IF($AA68=0,99,IF(P81&gt;3,CdTrp1!O76,CdTrp1!O52))</f>
        <v>1</v>
      </c>
      <c r="Q68" s="172">
        <f>IF($AA68=0,99,IF(Q81&gt;3,CdTrp1!P76,CdTrp1!P52))</f>
        <v>1</v>
      </c>
      <c r="R68" s="172">
        <f>IF($AA68=0,99,IF(R81&gt;3,CdTrp1!Q76,CdTrp1!Q52))</f>
        <v>1</v>
      </c>
      <c r="S68" s="172">
        <f>IF($AA68=0,99,IF(S81&gt;3,CdTrp1!R76,CdTrp1!R52))</f>
        <v>1</v>
      </c>
      <c r="T68" s="172">
        <f>IF($AA68=0,99,IF(T81&gt;3,CdTrp1!S76,CdTrp1!S52))</f>
        <v>1</v>
      </c>
      <c r="U68" s="172">
        <f>IF($AA68=0,99,IF(U81&gt;3,CdTrp1!T76,CdTrp1!T52))</f>
        <v>1</v>
      </c>
      <c r="V68" s="172">
        <f>IF($AA68=0,99,IF(V81&gt;3,CdTrp1!U76,CdTrp1!U52))</f>
        <v>1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1</v>
      </c>
      <c r="D69" s="172">
        <f>IF($AA69=0,99,IF(D82&gt;3,CdTrp1!C77,CdTrp1!C53))</f>
        <v>1</v>
      </c>
      <c r="E69" s="172">
        <f>IF($AA69=0,99,IF(E82&gt;3,CdTrp1!D77,CdTrp1!D53))</f>
        <v>1</v>
      </c>
      <c r="F69" s="172">
        <f>IF($AA69=0,99,IF(F82&gt;3,CdTrp1!E77,CdTrp1!E53))</f>
        <v>1</v>
      </c>
      <c r="G69" s="172">
        <f>IF($AA69=0,99,IF(G82&gt;3,CdTrp1!F77,CdTrp1!F53))</f>
        <v>1</v>
      </c>
      <c r="H69" s="172">
        <f>IF($AA69=0,99,IF(H82&gt;3,CdTrp1!G77,CdTrp1!G53))</f>
        <v>1</v>
      </c>
      <c r="I69" s="172">
        <f>IF($AA69=0,99,IF(I82&gt;3,CdTrp1!H77,CdTrp1!H53))</f>
        <v>1</v>
      </c>
      <c r="J69" s="172">
        <f>IF($AA69=0,99,IF(J82&gt;3,CdTrp1!I77,CdTrp1!I53))</f>
        <v>1</v>
      </c>
      <c r="K69" s="172">
        <f>IF($AA69=0,99,IF(K82&gt;3,CdTrp1!J77,CdTrp1!J53))</f>
        <v>1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1</v>
      </c>
      <c r="W69" s="172">
        <f>IF($AA69=0,99,IF(W82&gt;3,CdTrp1!V77,CdTrp1!V53))</f>
        <v>1</v>
      </c>
      <c r="X69" s="172">
        <f>IF($AA69=0,99,IF(X82&gt;3,CdTrp1!W77,CdTrp1!W53))</f>
        <v>1</v>
      </c>
      <c r="Y69" s="172">
        <f>IF($AA69=0,99,IF(Y82&gt;3,CdTrp1!X77,CdTrp1!X53))</f>
        <v>1</v>
      </c>
      <c r="Z69" s="172">
        <f>IF($AA69=0,99,IF(Z82&gt;3,CdTrp1!Y77,CdTrp1!Y53))</f>
        <v>1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1</v>
      </c>
      <c r="I70" s="172">
        <f>IF($AA70=0,99,IF(I83&gt;3,CdTrp1!H78,CdTrp1!H54))</f>
        <v>1</v>
      </c>
      <c r="J70" s="172">
        <f>IF($AA70=0,99,IF(J83&gt;3,CdTrp1!I78,CdTrp1!I54))</f>
        <v>1</v>
      </c>
      <c r="K70" s="172">
        <f>IF($AA70=0,99,IF(K83&gt;3,CdTrp1!J78,CdTrp1!J54))</f>
        <v>1</v>
      </c>
      <c r="L70" s="172">
        <f>IF($AA70=0,99,IF(L83&gt;3,CdTrp1!K78,CdTrp1!K54))</f>
        <v>1</v>
      </c>
      <c r="M70" s="172">
        <f>IF($AA70=0,99,IF(M83&gt;3,CdTrp1!L78,CdTrp1!L54))</f>
        <v>1</v>
      </c>
      <c r="N70" s="172">
        <f>IF($AA70=0,99,IF(N83&gt;3,CdTrp1!M78,CdTrp1!M54))</f>
        <v>1</v>
      </c>
      <c r="O70" s="172">
        <f>IF($AA70=0,99,IF(O83&gt;3,CdTrp1!N78,CdTrp1!N54))</f>
        <v>1</v>
      </c>
      <c r="P70" s="172">
        <f>IF($AA70=0,99,IF(P83&gt;3,CdTrp1!O78,CdTrp1!O54))</f>
        <v>1</v>
      </c>
      <c r="Q70" s="172">
        <f>IF($AA70=0,99,IF(Q83&gt;3,CdTrp1!P78,CdTrp1!P54))</f>
        <v>1</v>
      </c>
      <c r="R70" s="172">
        <f>IF($AA70=0,99,IF(R83&gt;3,CdTrp1!Q78,CdTrp1!Q54))</f>
        <v>1</v>
      </c>
      <c r="S70" s="172">
        <f>IF($AA70=0,99,IF(S83&gt;3,CdTrp1!R78,CdTrp1!R54))</f>
        <v>1</v>
      </c>
      <c r="T70" s="172">
        <f>IF($AA70=0,99,IF(T83&gt;3,CdTrp1!S78,CdTrp1!S54))</f>
        <v>1</v>
      </c>
      <c r="U70" s="172">
        <f>IF($AA70=0,99,IF(U83&gt;3,CdTrp1!T78,CdTrp1!T54))</f>
        <v>1</v>
      </c>
      <c r="V70" s="172">
        <f>IF($AA70=0,99,IF(V83&gt;3,CdTrp1!U78,CdTrp1!U54))</f>
        <v>1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1</v>
      </c>
      <c r="D71" s="172">
        <f>IF($AA71=0,99,IF(D84&gt;3,CdTrp1!C79,CdTrp1!C55))</f>
        <v>1</v>
      </c>
      <c r="E71" s="172">
        <f>IF($AA71=0,99,IF(E84&gt;3,CdTrp1!D79,CdTrp1!D55))</f>
        <v>1</v>
      </c>
      <c r="F71" s="172">
        <f>IF($AA71=0,99,IF(F84&gt;3,CdTrp1!E79,CdTrp1!E55))</f>
        <v>1</v>
      </c>
      <c r="G71" s="172">
        <f>IF($AA71=0,99,IF(G84&gt;3,CdTrp1!F79,CdTrp1!F55))</f>
        <v>1</v>
      </c>
      <c r="H71" s="172">
        <f>IF($AA71=0,99,IF(H84&gt;3,CdTrp1!G79,CdTrp1!G55))</f>
        <v>1</v>
      </c>
      <c r="I71" s="172">
        <f>IF($AA71=0,99,IF(I84&gt;3,CdTrp1!H79,CdTrp1!H55))</f>
        <v>1</v>
      </c>
      <c r="J71" s="172">
        <f>IF($AA71=0,99,IF(J84&gt;3,CdTrp1!I79,CdTrp1!I55))</f>
        <v>1</v>
      </c>
      <c r="K71" s="172">
        <f>IF($AA71=0,99,IF(K84&gt;3,CdTrp1!J79,CdTrp1!J55))</f>
        <v>1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1</v>
      </c>
      <c r="W71" s="172">
        <f>IF($AA71=0,99,IF(W84&gt;3,CdTrp1!V79,CdTrp1!V55))</f>
        <v>1</v>
      </c>
      <c r="X71" s="172">
        <f>IF($AA71=0,99,IF(X84&gt;3,CdTrp1!W79,CdTrp1!W55))</f>
        <v>1</v>
      </c>
      <c r="Y71" s="172">
        <f>IF($AA71=0,99,IF(Y84&gt;3,CdTrp1!X79,CdTrp1!X55))</f>
        <v>1</v>
      </c>
      <c r="Z71" s="172">
        <f>IF($AA71=0,99,IF(Z84&gt;3,CdTrp1!Y79,CdTrp1!Y55))</f>
        <v>1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0</v>
      </c>
      <c r="I81" s="172">
        <f>CdTrp1!H76</f>
        <v>0</v>
      </c>
      <c r="J81" s="172">
        <f>CdTrp1!I76</f>
        <v>0</v>
      </c>
      <c r="K81" s="172">
        <f>CdTrp1!J76</f>
        <v>0</v>
      </c>
      <c r="L81" s="172">
        <f>CdTrp1!K76</f>
        <v>0</v>
      </c>
      <c r="M81" s="172">
        <f>CdTrp1!L76</f>
        <v>0</v>
      </c>
      <c r="N81" s="172">
        <f>CdTrp1!M76</f>
        <v>0</v>
      </c>
      <c r="O81" s="172">
        <f>CdTrp1!N76</f>
        <v>0</v>
      </c>
      <c r="P81" s="172">
        <f>CdTrp1!O76</f>
        <v>0</v>
      </c>
      <c r="Q81" s="172">
        <f>CdTrp1!P76</f>
        <v>0</v>
      </c>
      <c r="R81" s="172">
        <f>CdTrp1!Q76</f>
        <v>0</v>
      </c>
      <c r="S81" s="172">
        <f>CdTrp1!R76</f>
        <v>0</v>
      </c>
      <c r="T81" s="172">
        <f>CdTrp1!S76</f>
        <v>0</v>
      </c>
      <c r="U81" s="172">
        <f>CdTrp1!T76</f>
        <v>0</v>
      </c>
      <c r="V81" s="172">
        <f>CdTrp1!U76</f>
        <v>0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0</v>
      </c>
      <c r="D82" s="172">
        <f>CdTrp1!C77</f>
        <v>0</v>
      </c>
      <c r="E82" s="172">
        <f>CdTrp1!D77</f>
        <v>0</v>
      </c>
      <c r="F82" s="172">
        <f>CdTrp1!E77</f>
        <v>0</v>
      </c>
      <c r="G82" s="172">
        <f>CdTrp1!F77</f>
        <v>0</v>
      </c>
      <c r="H82" s="172">
        <f>CdTrp1!G77</f>
        <v>0</v>
      </c>
      <c r="I82" s="172">
        <f>CdTrp1!H77</f>
        <v>0</v>
      </c>
      <c r="J82" s="172">
        <f>CdTrp1!I77</f>
        <v>0</v>
      </c>
      <c r="K82" s="172">
        <f>CdTrp1!J77</f>
        <v>0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0</v>
      </c>
      <c r="W82" s="172">
        <f>CdTrp1!V77</f>
        <v>0</v>
      </c>
      <c r="X82" s="172">
        <f>CdTrp1!W77</f>
        <v>0</v>
      </c>
      <c r="Y82" s="172">
        <f>CdTrp1!X77</f>
        <v>0</v>
      </c>
      <c r="Z82" s="172">
        <f>CdTrp1!Y77</f>
        <v>0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0</v>
      </c>
      <c r="I83" s="172">
        <f>CdTrp1!H78</f>
        <v>0</v>
      </c>
      <c r="J83" s="172">
        <f>CdTrp1!I78</f>
        <v>0</v>
      </c>
      <c r="K83" s="172">
        <f>CdTrp1!J78</f>
        <v>0</v>
      </c>
      <c r="L83" s="172">
        <f>CdTrp1!K78</f>
        <v>0</v>
      </c>
      <c r="M83" s="172">
        <f>CdTrp1!L78</f>
        <v>0</v>
      </c>
      <c r="N83" s="172">
        <f>CdTrp1!M78</f>
        <v>0</v>
      </c>
      <c r="O83" s="172">
        <f>CdTrp1!N78</f>
        <v>0</v>
      </c>
      <c r="P83" s="172">
        <f>CdTrp1!O78</f>
        <v>0</v>
      </c>
      <c r="Q83" s="172">
        <f>CdTrp1!P78</f>
        <v>0</v>
      </c>
      <c r="R83" s="172">
        <f>CdTrp1!Q78</f>
        <v>0</v>
      </c>
      <c r="S83" s="172">
        <f>CdTrp1!R78</f>
        <v>0</v>
      </c>
      <c r="T83" s="172">
        <f>CdTrp1!S78</f>
        <v>0</v>
      </c>
      <c r="U83" s="172">
        <f>CdTrp1!T78</f>
        <v>0</v>
      </c>
      <c r="V83" s="172">
        <f>CdTrp1!U78</f>
        <v>0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0</v>
      </c>
      <c r="D84" s="172">
        <f>CdTrp1!C79</f>
        <v>0</v>
      </c>
      <c r="E84" s="172">
        <f>CdTrp1!D79</f>
        <v>0</v>
      </c>
      <c r="F84" s="172">
        <f>CdTrp1!E79</f>
        <v>0</v>
      </c>
      <c r="G84" s="172">
        <f>CdTrp1!F79</f>
        <v>0</v>
      </c>
      <c r="H84" s="172">
        <f>CdTrp1!G79</f>
        <v>0</v>
      </c>
      <c r="I84" s="172">
        <f>CdTrp1!H79</f>
        <v>0</v>
      </c>
      <c r="J84" s="172">
        <f>CdTrp1!I79</f>
        <v>0</v>
      </c>
      <c r="K84" s="172">
        <f>CdTrp1!J79</f>
        <v>0</v>
      </c>
      <c r="L84" s="172">
        <f>CdTrp1!K79</f>
        <v>0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0</v>
      </c>
      <c r="W84" s="172">
        <f>CdTrp1!V79</f>
        <v>0</v>
      </c>
      <c r="X84" s="172">
        <f>CdTrp1!W79</f>
        <v>0</v>
      </c>
      <c r="Y84" s="172">
        <f>CdTrp1!X79</f>
        <v>0</v>
      </c>
      <c r="Z84" s="172">
        <f>CdTrp1!Y79</f>
        <v>0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1</v>
      </c>
      <c r="J110" s="172">
        <f>IF($AA110=0,99,IF(J123&gt;3,CdTrp2!I76,CdTrp2!I52))</f>
        <v>1</v>
      </c>
      <c r="K110" s="172">
        <f>IF($AA110=0,99,IF(K123&gt;3,CdTrp2!J76,CdTrp2!J52))</f>
        <v>1</v>
      </c>
      <c r="L110" s="172">
        <f>IF($AA110=0,99,IF(L123&gt;3,CdTrp2!K76,CdTrp2!K52))</f>
        <v>1</v>
      </c>
      <c r="M110" s="172">
        <f>IF($AA110=0,99,IF(M123&gt;3,CdTrp2!L76,CdTrp2!L52))</f>
        <v>1</v>
      </c>
      <c r="N110" s="172">
        <f>IF($AA110=0,99,IF(N123&gt;3,CdTrp2!M76,CdTrp2!M52))</f>
        <v>1</v>
      </c>
      <c r="O110" s="172">
        <f>IF($AA110=0,99,IF(O123&gt;3,CdTrp2!N76,CdTrp2!N52))</f>
        <v>1</v>
      </c>
      <c r="P110" s="172">
        <f>IF($AA110=0,99,IF(P123&gt;3,CdTrp2!O76,CdTrp2!O52))</f>
        <v>1</v>
      </c>
      <c r="Q110" s="172">
        <f>IF($AA110=0,99,IF(Q123&gt;3,CdTrp2!P76,CdTrp2!P52))</f>
        <v>1</v>
      </c>
      <c r="R110" s="172">
        <f>IF($AA110=0,99,IF(R123&gt;3,CdTrp2!Q76,CdTrp2!Q52))</f>
        <v>1</v>
      </c>
      <c r="S110" s="172">
        <f>IF($AA110=0,99,IF(S123&gt;3,CdTrp2!R76,CdTrp2!R52))</f>
        <v>1</v>
      </c>
      <c r="T110" s="172">
        <f>IF($AA110=0,99,IF(T123&gt;3,CdTrp2!S76,CdTrp2!S52))</f>
        <v>1</v>
      </c>
      <c r="U110" s="172">
        <f>IF($AA110=0,99,IF(U123&gt;3,CdTrp2!T76,CdTrp2!T52))</f>
        <v>1</v>
      </c>
      <c r="V110" s="172">
        <f>IF($AA110=0,99,IF(V123&gt;3,CdTrp2!U76,CdTrp2!U52))</f>
        <v>1</v>
      </c>
      <c r="W110" s="172">
        <f>IF($AA110=0,99,IF(W123&gt;3,CdTrp2!V76,CdTrp2!V52))</f>
        <v>1</v>
      </c>
      <c r="X110" s="172">
        <f>IF($AA110=0,99,IF(X123&gt;3,CdTrp2!W76,CdTrp2!W52))</f>
        <v>1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1</v>
      </c>
      <c r="I111" s="172">
        <f>IF($AA111=0,99,IF(I124&gt;3,CdTrp2!H77,CdTrp2!H53))</f>
        <v>1</v>
      </c>
      <c r="J111" s="172">
        <f>IF($AA111=0,99,IF(J124&gt;3,CdTrp2!I77,CdTrp2!I53))</f>
        <v>1</v>
      </c>
      <c r="K111" s="172">
        <f>IF($AA111=0,99,IF(K124&gt;3,CdTrp2!J77,CdTrp2!J53))</f>
        <v>1</v>
      </c>
      <c r="L111" s="172">
        <f>IF($AA111=0,99,IF(L124&gt;3,CdTrp2!K77,CdTrp2!K53))</f>
        <v>1</v>
      </c>
      <c r="M111" s="172">
        <f>IF($AA111=0,99,IF(M124&gt;3,CdTrp2!L77,CdTrp2!L53))</f>
        <v>1</v>
      </c>
      <c r="N111" s="172">
        <f>IF($AA111=0,99,IF(N124&gt;3,CdTrp2!M77,CdTrp2!M53))</f>
        <v>1</v>
      </c>
      <c r="O111" s="172">
        <f>IF($AA111=0,99,IF(O124&gt;3,CdTrp2!N77,CdTrp2!N53))</f>
        <v>1</v>
      </c>
      <c r="P111" s="172">
        <f>IF($AA111=0,99,IF(P124&gt;3,CdTrp2!O77,CdTrp2!O53))</f>
        <v>1</v>
      </c>
      <c r="Q111" s="172">
        <f>IF($AA111=0,99,IF(Q124&gt;3,CdTrp2!P77,CdTrp2!P53))</f>
        <v>1</v>
      </c>
      <c r="R111" s="172">
        <f>IF($AA111=0,99,IF(R124&gt;3,CdTrp2!Q77,CdTrp2!Q53))</f>
        <v>1</v>
      </c>
      <c r="S111" s="172">
        <f>IF($AA111=0,99,IF(S124&gt;3,CdTrp2!R77,CdTrp2!R53))</f>
        <v>1</v>
      </c>
      <c r="T111" s="172">
        <f>IF($AA111=0,99,IF(T124&gt;3,CdTrp2!S77,CdTrp2!S53))</f>
        <v>1</v>
      </c>
      <c r="U111" s="172">
        <f>IF($AA111=0,99,IF(U124&gt;3,CdTrp2!T77,CdTrp2!T53))</f>
        <v>1</v>
      </c>
      <c r="V111" s="172">
        <f>IF($AA111=0,99,IF(V124&gt;3,CdTrp2!U77,CdTrp2!U53))</f>
        <v>1</v>
      </c>
      <c r="W111" s="172">
        <f>IF($AA111=0,99,IF(W124&gt;3,CdTrp2!V77,CdTrp2!V53))</f>
        <v>1</v>
      </c>
      <c r="X111" s="172">
        <f>IF($AA111=0,99,IF(X124&gt;3,CdTrp2!W77,CdTrp2!W53))</f>
        <v>1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1</v>
      </c>
      <c r="H112" s="172">
        <f>IF($AA112=0,99,IF(H125&gt;3,CdTrp2!G78,CdTrp2!G54))</f>
        <v>1</v>
      </c>
      <c r="I112" s="172">
        <f>IF($AA112=0,99,IF(I125&gt;3,CdTrp2!H78,CdTrp2!H54))</f>
        <v>1</v>
      </c>
      <c r="J112" s="172">
        <f>IF($AA112=0,99,IF(J125&gt;3,CdTrp2!I78,CdTrp2!I54))</f>
        <v>1</v>
      </c>
      <c r="K112" s="172">
        <f>IF($AA112=0,99,IF(K125&gt;3,CdTrp2!J78,CdTrp2!J54))</f>
        <v>1</v>
      </c>
      <c r="L112" s="172">
        <f>IF($AA112=0,99,IF(L125&gt;3,CdTrp2!K78,CdTrp2!K54))</f>
        <v>1</v>
      </c>
      <c r="M112" s="172">
        <f>IF($AA112=0,99,IF(M125&gt;3,CdTrp2!L78,CdTrp2!L54))</f>
        <v>1</v>
      </c>
      <c r="N112" s="172">
        <f>IF($AA112=0,99,IF(N125&gt;3,CdTrp2!M78,CdTrp2!M54))</f>
        <v>1</v>
      </c>
      <c r="O112" s="172">
        <f>IF($AA112=0,99,IF(O125&gt;3,CdTrp2!N78,CdTrp2!N54))</f>
        <v>1</v>
      </c>
      <c r="P112" s="172">
        <f>IF($AA112=0,99,IF(P125&gt;3,CdTrp2!O78,CdTrp2!O54))</f>
        <v>1</v>
      </c>
      <c r="Q112" s="172">
        <f>IF($AA112=0,99,IF(Q125&gt;3,CdTrp2!P78,CdTrp2!P54))</f>
        <v>1</v>
      </c>
      <c r="R112" s="172">
        <f>IF($AA112=0,99,IF(R125&gt;3,CdTrp2!Q78,CdTrp2!Q54))</f>
        <v>1</v>
      </c>
      <c r="S112" s="172">
        <f>IF($AA112=0,99,IF(S125&gt;3,CdTrp2!R78,CdTrp2!R54))</f>
        <v>1</v>
      </c>
      <c r="T112" s="172">
        <f>IF($AA112=0,99,IF(T125&gt;3,CdTrp2!S78,CdTrp2!S54))</f>
        <v>1</v>
      </c>
      <c r="U112" s="172">
        <f>IF($AA112=0,99,IF(U125&gt;3,CdTrp2!T78,CdTrp2!T54))</f>
        <v>1</v>
      </c>
      <c r="V112" s="172">
        <f>IF($AA112=0,99,IF(V125&gt;3,CdTrp2!U78,CdTrp2!U54))</f>
        <v>1</v>
      </c>
      <c r="W112" s="172">
        <f>IF($AA112=0,99,IF(W125&gt;3,CdTrp2!V78,CdTrp2!V54))</f>
        <v>1</v>
      </c>
      <c r="X112" s="172">
        <f>IF($AA112=0,99,IF(X125&gt;3,CdTrp2!W78,CdTrp2!W54))</f>
        <v>1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1</v>
      </c>
      <c r="D180" s="172">
        <f>IF(Troupeau!$B$3="OL",Protection!D18,0)</f>
        <v>1</v>
      </c>
      <c r="E180" s="172">
        <f>IF(Troupeau!$B$3="OL",Protection!E18,0)</f>
        <v>1</v>
      </c>
      <c r="F180" s="172">
        <f>IF(Troupeau!$B$3="OL",Protection!F18,0)</f>
        <v>1</v>
      </c>
      <c r="G180" s="172">
        <f>IF(Troupeau!$B$3="OL",Protection!G18,0)</f>
        <v>1</v>
      </c>
      <c r="H180" s="172">
        <f>IF(Troupeau!$B$3="OL",Protection!H18,0)</f>
        <v>1</v>
      </c>
      <c r="I180" s="172">
        <f>IF(Troupeau!$B$3="OL",Protection!I18,0)</f>
        <v>1</v>
      </c>
      <c r="J180" s="172">
        <f>IF(Troupeau!$B$3="OL",Protection!J18,0)</f>
        <v>1</v>
      </c>
      <c r="K180" s="172">
        <f>IF(Troupeau!$B$3="OL",Protection!K18,0)</f>
        <v>1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1</v>
      </c>
      <c r="W180" s="172">
        <f>IF(Troupeau!$B$3="OL",Protection!W18,0)</f>
        <v>1</v>
      </c>
      <c r="X180" s="172">
        <f>IF(Troupeau!$B$3="OL",Protection!X18,0)</f>
        <v>1</v>
      </c>
      <c r="Y180" s="172">
        <f>IF(Troupeau!$B$3="OL",Protection!Y18,0)</f>
        <v>1</v>
      </c>
      <c r="Z180" s="172">
        <f>IF(Troupeau!$B$3="OL",Protection!Z18,0)</f>
        <v>1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0</v>
      </c>
      <c r="O181" s="172">
        <f>IF(Troupeau!$B$3="OL",Protection!O19+O21,0)</f>
        <v>0</v>
      </c>
      <c r="P181" s="172">
        <f>IF(Troupeau!$B$3="OL",Protection!P19+P21,0)</f>
        <v>0</v>
      </c>
      <c r="Q181" s="172">
        <f>IF(Troupeau!$B$3="OL",Protection!Q19+Q21,0)</f>
        <v>0</v>
      </c>
      <c r="R181" s="172">
        <f>IF(Troupeau!$B$3="OL",Protection!R19+R21,0)</f>
        <v>0</v>
      </c>
      <c r="S181" s="172">
        <f>IF(Troupeau!$B$3="OL",Protection!S19+S21,0)</f>
        <v>0</v>
      </c>
      <c r="T181" s="172">
        <f>IF(Troupeau!$B$3="OL",Protection!T19+T21,0)</f>
        <v>0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1</v>
      </c>
      <c r="D195" s="172">
        <f t="shared" ref="D195:Z196" si="50">D180+D183+D185+D187</f>
        <v>1</v>
      </c>
      <c r="E195" s="172">
        <f t="shared" si="50"/>
        <v>1</v>
      </c>
      <c r="F195" s="172">
        <f t="shared" si="50"/>
        <v>1</v>
      </c>
      <c r="G195" s="172">
        <f t="shared" si="50"/>
        <v>1</v>
      </c>
      <c r="H195" s="172">
        <f t="shared" si="50"/>
        <v>1</v>
      </c>
      <c r="I195" s="172">
        <f t="shared" si="50"/>
        <v>1</v>
      </c>
      <c r="J195" s="172">
        <f t="shared" si="50"/>
        <v>1</v>
      </c>
      <c r="K195" s="172">
        <f t="shared" si="50"/>
        <v>1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1</v>
      </c>
      <c r="W195" s="172">
        <f t="shared" si="50"/>
        <v>1</v>
      </c>
      <c r="X195" s="172">
        <f t="shared" si="50"/>
        <v>1</v>
      </c>
      <c r="Y195" s="172">
        <f t="shared" si="50"/>
        <v>1</v>
      </c>
      <c r="Z195" s="172">
        <f t="shared" si="50"/>
        <v>1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0</v>
      </c>
      <c r="O196" s="172">
        <f t="shared" si="50"/>
        <v>0</v>
      </c>
      <c r="P196" s="172">
        <f t="shared" si="50"/>
        <v>0</v>
      </c>
      <c r="Q196" s="172">
        <f t="shared" si="50"/>
        <v>0</v>
      </c>
      <c r="R196" s="172">
        <f t="shared" si="50"/>
        <v>0</v>
      </c>
      <c r="S196" s="172">
        <f t="shared" si="50"/>
        <v>0</v>
      </c>
      <c r="T196" s="172">
        <f t="shared" si="50"/>
        <v>0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0</v>
      </c>
      <c r="D201" s="172">
        <f>IF(Troupeau!$B$3="OL",D8+D9,0)</f>
        <v>0</v>
      </c>
      <c r="E201" s="172">
        <f>IF(Troupeau!$B$3="OL",E8+E9,0)</f>
        <v>0</v>
      </c>
      <c r="F201" s="172">
        <f>IF(Troupeau!$B$3="OL",F8+F9,0)</f>
        <v>0</v>
      </c>
      <c r="G201" s="172">
        <f>IF(Troupeau!$B$3="OL",G8+G9,0)</f>
        <v>0</v>
      </c>
      <c r="H201" s="172">
        <f>IF(Troupeau!$B$3="OL",H8+H9,0)</f>
        <v>0</v>
      </c>
      <c r="I201" s="172">
        <f>IF(Troupeau!$B$3="OL",I8+I9,0)</f>
        <v>0</v>
      </c>
      <c r="J201" s="172">
        <f>IF(Troupeau!$B$3="OL",J8+J9,0)</f>
        <v>0</v>
      </c>
      <c r="K201" s="172">
        <f>IF(Troupeau!$B$3="OL",K8+K9,0)</f>
        <v>0</v>
      </c>
      <c r="L201" s="172">
        <f>IF(Troupeau!$B$3="OL",L8+L9,0)</f>
        <v>0</v>
      </c>
      <c r="M201" s="172">
        <f>IF(Troupeau!$B$3="OL",M8+M9,0)</f>
        <v>0</v>
      </c>
      <c r="N201" s="172">
        <f>IF(Troupeau!$B$3="OL",N8+N9,0)</f>
        <v>0</v>
      </c>
      <c r="O201" s="172">
        <f>IF(Troupeau!$B$3="OL",O8+O9,0)</f>
        <v>0</v>
      </c>
      <c r="P201" s="172">
        <f>IF(Troupeau!$B$3="OL",P8+P9,0)</f>
        <v>0</v>
      </c>
      <c r="Q201" s="172">
        <f>IF(Troupeau!$B$3="OL",Q8+Q9,0)</f>
        <v>0</v>
      </c>
      <c r="R201" s="172">
        <f>IF(Troupeau!$B$3="OL",R8+R9,0)</f>
        <v>0</v>
      </c>
      <c r="S201" s="172">
        <f>IF(Troupeau!$B$3="OL",S8+S9,0)</f>
        <v>0</v>
      </c>
      <c r="T201" s="172">
        <f>IF(Troupeau!$B$3="OL",T8+T9,0)</f>
        <v>0</v>
      </c>
      <c r="U201" s="172">
        <f>IF(Troupeau!$B$3="OL",U8+U9,0)</f>
        <v>0</v>
      </c>
      <c r="V201" s="172">
        <f>IF(Troupeau!$B$3="OL",V8+V9,0)</f>
        <v>0</v>
      </c>
      <c r="W201" s="172">
        <f>IF(Troupeau!$B$3="OL",W8+W9,0)</f>
        <v>0</v>
      </c>
      <c r="X201" s="172">
        <f>IF(Troupeau!$B$3="OL",X8+X9,0)</f>
        <v>0</v>
      </c>
      <c r="Y201" s="172">
        <f>IF(Troupeau!$B$3="OL",Y8+Y9,0)</f>
        <v>0</v>
      </c>
      <c r="Z201" s="172">
        <f>IF(Troupeau!$B$3="OL",Z8+Z9,0)</f>
        <v>0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0</v>
      </c>
      <c r="O202" s="172">
        <f>IF(Troupeau!$B$3="OL",O10+O12,0)</f>
        <v>0</v>
      </c>
      <c r="P202" s="172">
        <f>IF(Troupeau!$B$3="OL",P10+P12,0)</f>
        <v>0</v>
      </c>
      <c r="Q202" s="172">
        <f>IF(Troupeau!$B$3="OL",Q10+Q12,0)</f>
        <v>0</v>
      </c>
      <c r="R202" s="172">
        <f>IF(Troupeau!$B$3="OL",R10+R12,0)</f>
        <v>0</v>
      </c>
      <c r="S202" s="172">
        <f>IF(Troupeau!$B$3="OL",S10+S12,0)</f>
        <v>0</v>
      </c>
      <c r="T202" s="172">
        <f>IF(Troupeau!$B$3="OL",T10+T12,0)</f>
        <v>0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0</v>
      </c>
      <c r="D203" s="172">
        <f t="shared" ref="D203:Z203" si="51">SUM(D201:D202)</f>
        <v>0</v>
      </c>
      <c r="E203" s="172">
        <f t="shared" si="51"/>
        <v>0</v>
      </c>
      <c r="F203" s="172">
        <f t="shared" si="51"/>
        <v>0</v>
      </c>
      <c r="G203" s="172">
        <f t="shared" si="51"/>
        <v>0</v>
      </c>
      <c r="H203" s="172">
        <f t="shared" si="51"/>
        <v>0</v>
      </c>
      <c r="I203" s="172">
        <f t="shared" si="51"/>
        <v>0</v>
      </c>
      <c r="J203" s="172">
        <f t="shared" si="51"/>
        <v>0</v>
      </c>
      <c r="K203" s="172">
        <f t="shared" si="51"/>
        <v>0</v>
      </c>
      <c r="L203" s="172">
        <f t="shared" si="51"/>
        <v>0</v>
      </c>
      <c r="M203" s="172">
        <f t="shared" si="51"/>
        <v>0</v>
      </c>
      <c r="N203" s="172">
        <f t="shared" si="51"/>
        <v>0</v>
      </c>
      <c r="O203" s="172">
        <f t="shared" si="51"/>
        <v>0</v>
      </c>
      <c r="P203" s="172">
        <f t="shared" si="51"/>
        <v>0</v>
      </c>
      <c r="Q203" s="172">
        <f t="shared" si="51"/>
        <v>0</v>
      </c>
      <c r="R203" s="172">
        <f t="shared" si="51"/>
        <v>0</v>
      </c>
      <c r="S203" s="172">
        <f t="shared" si="51"/>
        <v>0</v>
      </c>
      <c r="T203" s="172">
        <f t="shared" si="51"/>
        <v>0</v>
      </c>
      <c r="U203" s="172">
        <f t="shared" si="51"/>
        <v>0</v>
      </c>
      <c r="V203" s="172">
        <f t="shared" si="51"/>
        <v>0</v>
      </c>
      <c r="W203" s="172">
        <f t="shared" si="51"/>
        <v>0</v>
      </c>
      <c r="X203" s="172">
        <f t="shared" si="51"/>
        <v>0</v>
      </c>
      <c r="Y203" s="172">
        <f t="shared" si="51"/>
        <v>0</v>
      </c>
      <c r="Z203" s="172">
        <f t="shared" si="51"/>
        <v>0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0</v>
      </c>
      <c r="D212" s="172">
        <f t="shared" ref="D212:Z213" si="52">D201+D204+D206+D208</f>
        <v>0</v>
      </c>
      <c r="E212" s="172">
        <f t="shared" si="52"/>
        <v>0</v>
      </c>
      <c r="F212" s="172">
        <f t="shared" si="52"/>
        <v>0</v>
      </c>
      <c r="G212" s="172">
        <f t="shared" si="52"/>
        <v>0</v>
      </c>
      <c r="H212" s="172">
        <f t="shared" si="52"/>
        <v>0</v>
      </c>
      <c r="I212" s="172">
        <f t="shared" si="52"/>
        <v>0</v>
      </c>
      <c r="J212" s="172">
        <f t="shared" si="52"/>
        <v>0</v>
      </c>
      <c r="K212" s="172">
        <f t="shared" si="52"/>
        <v>0</v>
      </c>
      <c r="L212" s="172">
        <f t="shared" si="52"/>
        <v>0</v>
      </c>
      <c r="M212" s="172">
        <f t="shared" si="52"/>
        <v>0</v>
      </c>
      <c r="N212" s="172">
        <f t="shared" si="52"/>
        <v>0</v>
      </c>
      <c r="O212" s="172">
        <f t="shared" si="52"/>
        <v>0</v>
      </c>
      <c r="P212" s="172">
        <f t="shared" si="52"/>
        <v>0</v>
      </c>
      <c r="Q212" s="172">
        <f t="shared" si="52"/>
        <v>0</v>
      </c>
      <c r="R212" s="172">
        <f t="shared" si="52"/>
        <v>0</v>
      </c>
      <c r="S212" s="172">
        <f t="shared" si="52"/>
        <v>0</v>
      </c>
      <c r="T212" s="172">
        <f t="shared" si="52"/>
        <v>0</v>
      </c>
      <c r="U212" s="172">
        <f t="shared" si="52"/>
        <v>0</v>
      </c>
      <c r="V212" s="172">
        <f t="shared" si="52"/>
        <v>0</v>
      </c>
      <c r="W212" s="172">
        <f t="shared" si="52"/>
        <v>0</v>
      </c>
      <c r="X212" s="172">
        <f t="shared" si="52"/>
        <v>0</v>
      </c>
      <c r="Y212" s="172">
        <f t="shared" si="52"/>
        <v>0</v>
      </c>
      <c r="Z212" s="172">
        <f t="shared" si="52"/>
        <v>0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0</v>
      </c>
      <c r="O213" s="172">
        <f t="shared" si="52"/>
        <v>0</v>
      </c>
      <c r="P213" s="172">
        <f t="shared" si="52"/>
        <v>0</v>
      </c>
      <c r="Q213" s="172">
        <f t="shared" si="52"/>
        <v>0</v>
      </c>
      <c r="R213" s="172">
        <f t="shared" si="52"/>
        <v>0</v>
      </c>
      <c r="S213" s="172">
        <f t="shared" si="52"/>
        <v>0</v>
      </c>
      <c r="T213" s="172">
        <f t="shared" si="52"/>
        <v>0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0</v>
      </c>
      <c r="D214" s="172">
        <f t="shared" ref="D214:Z214" si="53">D212+D213</f>
        <v>0</v>
      </c>
      <c r="E214" s="172">
        <f t="shared" si="53"/>
        <v>0</v>
      </c>
      <c r="F214" s="172">
        <f t="shared" si="53"/>
        <v>0</v>
      </c>
      <c r="G214" s="172">
        <f t="shared" si="53"/>
        <v>0</v>
      </c>
      <c r="H214" s="172">
        <f t="shared" si="53"/>
        <v>0</v>
      </c>
      <c r="I214" s="172">
        <f t="shared" si="53"/>
        <v>0</v>
      </c>
      <c r="J214" s="172">
        <f t="shared" si="53"/>
        <v>0</v>
      </c>
      <c r="K214" s="172">
        <f t="shared" si="53"/>
        <v>0</v>
      </c>
      <c r="L214" s="172">
        <f t="shared" si="53"/>
        <v>0</v>
      </c>
      <c r="M214" s="172">
        <f t="shared" si="53"/>
        <v>0</v>
      </c>
      <c r="N214" s="172">
        <f t="shared" si="53"/>
        <v>0</v>
      </c>
      <c r="O214" s="172">
        <f t="shared" si="53"/>
        <v>0</v>
      </c>
      <c r="P214" s="172">
        <f t="shared" si="53"/>
        <v>0</v>
      </c>
      <c r="Q214" s="172">
        <f t="shared" si="53"/>
        <v>0</v>
      </c>
      <c r="R214" s="172">
        <f t="shared" si="53"/>
        <v>0</v>
      </c>
      <c r="S214" s="172">
        <f t="shared" si="53"/>
        <v>0</v>
      </c>
      <c r="T214" s="172">
        <f t="shared" si="53"/>
        <v>0</v>
      </c>
      <c r="U214" s="172">
        <f t="shared" si="53"/>
        <v>0</v>
      </c>
      <c r="V214" s="172">
        <f t="shared" si="53"/>
        <v>0</v>
      </c>
      <c r="W214" s="172">
        <f t="shared" si="53"/>
        <v>0</v>
      </c>
      <c r="X214" s="172">
        <f t="shared" si="53"/>
        <v>0</v>
      </c>
      <c r="Y214" s="172">
        <f t="shared" si="53"/>
        <v>0</v>
      </c>
      <c r="Z214" s="172">
        <f t="shared" si="53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0</v>
      </c>
      <c r="G5" s="172">
        <f>AV117</f>
        <v>0</v>
      </c>
      <c r="H5" s="172">
        <f t="shared" ref="H5:AD5" si="0">AW117</f>
        <v>0</v>
      </c>
      <c r="I5" s="172">
        <f t="shared" si="0"/>
        <v>0</v>
      </c>
      <c r="J5" s="172">
        <f t="shared" si="0"/>
        <v>0</v>
      </c>
      <c r="K5" s="172">
        <f t="shared" si="0"/>
        <v>0</v>
      </c>
      <c r="L5" s="172">
        <f t="shared" si="0"/>
        <v>0</v>
      </c>
      <c r="M5" s="172">
        <f t="shared" si="0"/>
        <v>0</v>
      </c>
      <c r="N5" s="172">
        <f t="shared" si="0"/>
        <v>0</v>
      </c>
      <c r="O5" s="172">
        <f t="shared" si="0"/>
        <v>0</v>
      </c>
      <c r="P5" s="172">
        <f t="shared" si="0"/>
        <v>0</v>
      </c>
      <c r="Q5" s="172">
        <f t="shared" si="0"/>
        <v>0</v>
      </c>
      <c r="R5" s="172">
        <f t="shared" si="0"/>
        <v>0</v>
      </c>
      <c r="S5" s="172">
        <f t="shared" si="0"/>
        <v>0</v>
      </c>
      <c r="T5" s="172">
        <f t="shared" si="0"/>
        <v>0</v>
      </c>
      <c r="U5" s="172">
        <f t="shared" si="0"/>
        <v>0</v>
      </c>
      <c r="V5" s="172">
        <f t="shared" si="0"/>
        <v>0</v>
      </c>
      <c r="W5" s="172">
        <f t="shared" si="0"/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0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0</v>
      </c>
      <c r="N6" s="172">
        <f t="shared" si="2"/>
        <v>0</v>
      </c>
      <c r="O6" s="172">
        <f t="shared" si="2"/>
        <v>0</v>
      </c>
      <c r="P6" s="172">
        <f t="shared" si="2"/>
        <v>0</v>
      </c>
      <c r="Q6" s="172">
        <f t="shared" si="2"/>
        <v>0</v>
      </c>
      <c r="R6" s="172">
        <f t="shared" si="2"/>
        <v>0</v>
      </c>
      <c r="S6" s="172">
        <f t="shared" si="2"/>
        <v>0</v>
      </c>
      <c r="T6" s="172">
        <f t="shared" si="2"/>
        <v>0</v>
      </c>
      <c r="U6" s="172">
        <f t="shared" si="2"/>
        <v>0</v>
      </c>
      <c r="V6" s="172">
        <f t="shared" si="2"/>
        <v>0</v>
      </c>
      <c r="W6" s="172">
        <f t="shared" si="2"/>
        <v>0</v>
      </c>
      <c r="X6" s="172">
        <f t="shared" si="2"/>
        <v>0</v>
      </c>
      <c r="Y6" s="172">
        <f t="shared" si="2"/>
        <v>0</v>
      </c>
      <c r="Z6" s="172">
        <f t="shared" si="2"/>
        <v>0</v>
      </c>
      <c r="AA6" s="172">
        <f t="shared" si="2"/>
        <v>0</v>
      </c>
      <c r="AB6" s="172">
        <f t="shared" si="2"/>
        <v>0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1252.5398260869563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51.583913043478262</v>
      </c>
      <c r="Q9" s="30">
        <f t="shared" si="4"/>
        <v>51.583913043478262</v>
      </c>
      <c r="R9" s="30">
        <f t="shared" si="4"/>
        <v>51.583913043478262</v>
      </c>
      <c r="S9" s="30">
        <f t="shared" si="4"/>
        <v>51.583913043478262</v>
      </c>
      <c r="T9" s="30">
        <f t="shared" si="4"/>
        <v>51.583913043478262</v>
      </c>
      <c r="U9" s="30">
        <f t="shared" si="4"/>
        <v>51.583913043478262</v>
      </c>
      <c r="V9" s="30">
        <f t="shared" si="4"/>
        <v>51.583913043478262</v>
      </c>
      <c r="W9" s="30">
        <f t="shared" si="4"/>
        <v>51.583913043478262</v>
      </c>
      <c r="X9" s="30">
        <f t="shared" si="4"/>
        <v>51.583913043478262</v>
      </c>
      <c r="Y9" s="30">
        <f t="shared" si="4"/>
        <v>51.583913043478262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1008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42</v>
      </c>
      <c r="O10" s="30">
        <f t="shared" si="6"/>
        <v>42</v>
      </c>
      <c r="P10" s="30">
        <f t="shared" si="6"/>
        <v>42</v>
      </c>
      <c r="Q10" s="30">
        <f t="shared" si="6"/>
        <v>42</v>
      </c>
      <c r="R10" s="30">
        <f t="shared" si="6"/>
        <v>42</v>
      </c>
      <c r="S10" s="30">
        <f t="shared" si="6"/>
        <v>42</v>
      </c>
      <c r="T10" s="30">
        <f t="shared" si="6"/>
        <v>42</v>
      </c>
      <c r="U10" s="30">
        <f t="shared" si="6"/>
        <v>42</v>
      </c>
      <c r="V10" s="30">
        <f t="shared" si="6"/>
        <v>42</v>
      </c>
      <c r="W10" s="30">
        <f t="shared" si="6"/>
        <v>42</v>
      </c>
      <c r="X10" s="30">
        <f t="shared" si="6"/>
        <v>42</v>
      </c>
      <c r="Y10" s="30">
        <f t="shared" si="6"/>
        <v>42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2260.539826086957</v>
      </c>
      <c r="G13" s="30">
        <f>SUM(G5:G11)</f>
        <v>95.064260869565217</v>
      </c>
      <c r="H13" s="30">
        <f t="shared" ref="H13:AD13" si="8">SUM(H5:H11)</f>
        <v>94.971739130434784</v>
      </c>
      <c r="I13" s="30">
        <f t="shared" si="8"/>
        <v>94.879217391304351</v>
      </c>
      <c r="J13" s="30">
        <f t="shared" si="8"/>
        <v>94.832956521739135</v>
      </c>
      <c r="K13" s="30">
        <f t="shared" si="8"/>
        <v>94.786695652173904</v>
      </c>
      <c r="L13" s="30">
        <f t="shared" si="8"/>
        <v>94.740434782608702</v>
      </c>
      <c r="M13" s="30">
        <f t="shared" si="8"/>
        <v>94.694173913043471</v>
      </c>
      <c r="N13" s="30">
        <f t="shared" si="8"/>
        <v>94.647913043478269</v>
      </c>
      <c r="O13" s="30">
        <f t="shared" si="8"/>
        <v>94.555391304347836</v>
      </c>
      <c r="P13" s="30">
        <f t="shared" si="8"/>
        <v>93.583913043478262</v>
      </c>
      <c r="Q13" s="30">
        <f t="shared" si="8"/>
        <v>93.583913043478262</v>
      </c>
      <c r="R13" s="30">
        <f t="shared" si="8"/>
        <v>93.583913043478262</v>
      </c>
      <c r="S13" s="30">
        <f t="shared" si="8"/>
        <v>93.583913043478262</v>
      </c>
      <c r="T13" s="30">
        <f t="shared" si="8"/>
        <v>93.583913043478262</v>
      </c>
      <c r="U13" s="30">
        <f t="shared" si="8"/>
        <v>93.583913043478262</v>
      </c>
      <c r="V13" s="30">
        <f t="shared" si="8"/>
        <v>93.583913043478262</v>
      </c>
      <c r="W13" s="30">
        <f t="shared" si="8"/>
        <v>93.583913043478262</v>
      </c>
      <c r="X13" s="30">
        <f t="shared" si="8"/>
        <v>93.583913043478262</v>
      </c>
      <c r="Y13" s="30">
        <f t="shared" si="8"/>
        <v>93.583913043478262</v>
      </c>
      <c r="Z13" s="30">
        <f t="shared" si="8"/>
        <v>93.167565217391314</v>
      </c>
      <c r="AA13" s="30">
        <f t="shared" si="8"/>
        <v>93.167565217391314</v>
      </c>
      <c r="AB13" s="30">
        <f t="shared" si="8"/>
        <v>95.064260869565217</v>
      </c>
      <c r="AC13" s="30">
        <f t="shared" si="8"/>
        <v>95.064260869565217</v>
      </c>
      <c r="AD13" s="30">
        <f t="shared" si="8"/>
        <v>95.064260869565217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1</v>
      </c>
      <c r="C16" s="189">
        <f>VALUE(LEFT(Scénario!K57,1))</f>
        <v>1</v>
      </c>
      <c r="D16" s="189">
        <f>IF(B16&gt;0,VLOOKUP(C16,[1]Trav!$A$86:$D$90,4),0)</f>
        <v>12</v>
      </c>
      <c r="E16" s="189">
        <f>Scénario!K54*2</f>
        <v>0</v>
      </c>
      <c r="F16" s="172">
        <f>IF(B16&gt;0,D16*E16/B16,0)</f>
        <v>0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0</v>
      </c>
      <c r="D17" s="189">
        <f>IF(B17&gt;0,VLOOKUP(C17,[1]Trav!$A$86:$D$90,4),0)</f>
        <v>0</v>
      </c>
      <c r="E17" s="189">
        <f>Scénario!K61*2</f>
        <v>0</v>
      </c>
      <c r="F17" s="172">
        <f t="shared" ref="F17:F18" si="15"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3</v>
      </c>
      <c r="AZ37" s="172">
        <f>IF(CdTrp1!F52=1,3,IF(CdTrp1!F52=0.5,2,IF(CdTrp1!F52=0,1,0)))</f>
        <v>3</v>
      </c>
      <c r="BA37" s="172">
        <f>IF(CdTrp1!G52=1,3,IF(CdTrp1!G52=0.5,2,IF(CdTrp1!G52=0,1,0)))</f>
        <v>3</v>
      </c>
      <c r="BB37" s="172">
        <f>IF(CdTrp1!H52=1,3,IF(CdTrp1!H52=0.5,2,IF(CdTrp1!H52=0,1,0)))</f>
        <v>3</v>
      </c>
      <c r="BC37" s="172">
        <f>IF(CdTrp1!I52=1,3,IF(CdTrp1!I52=0.5,2,IF(CdTrp1!I52=0,1,0)))</f>
        <v>3</v>
      </c>
      <c r="BD37" s="172">
        <f>IF(CdTrp1!J52=1,3,IF(CdTrp1!J52=0.5,2,IF(CdTrp1!J52=0,1,0)))</f>
        <v>3</v>
      </c>
      <c r="BE37" s="172">
        <f>IF(CdTrp1!K52=1,3,IF(CdTrp1!K52=0.5,2,IF(CdTrp1!K52=0,1,0)))</f>
        <v>3</v>
      </c>
      <c r="BF37" s="172">
        <f>IF(CdTrp1!L52=1,3,IF(CdTrp1!L52=0.5,2,IF(CdTrp1!L52=0,1,0)))</f>
        <v>3</v>
      </c>
      <c r="BG37" s="172">
        <f>IF(CdTrp1!M52=1,3,IF(CdTrp1!M52=0.5,2,IF(CdTrp1!M52=0,1,0)))</f>
        <v>3</v>
      </c>
      <c r="BH37" s="172">
        <f>IF(CdTrp1!N52=1,3,IF(CdTrp1!N52=0.5,2,IF(CdTrp1!N52=0,1,0)))</f>
        <v>3</v>
      </c>
      <c r="BI37" s="172">
        <f>IF(CdTrp1!O52=1,3,IF(CdTrp1!O52=0.5,2,IF(CdTrp1!O52=0,1,0)))</f>
        <v>3</v>
      </c>
      <c r="BJ37" s="172">
        <f>IF(CdTrp1!P52=1,3,IF(CdTrp1!P52=0.5,2,IF(CdTrp1!P52=0,1,0)))</f>
        <v>3</v>
      </c>
      <c r="BK37" s="172">
        <f>IF(CdTrp1!Q52=1,3,IF(CdTrp1!Q52=0.5,2,IF(CdTrp1!Q52=0,1,0)))</f>
        <v>3</v>
      </c>
      <c r="BL37" s="172">
        <f>IF(CdTrp1!R52=1,3,IF(CdTrp1!R52=0.5,2,IF(CdTrp1!R52=0,1,0)))</f>
        <v>3</v>
      </c>
      <c r="BM37" s="172">
        <f>IF(CdTrp1!S52=1,3,IF(CdTrp1!S52=0.5,2,IF(CdTrp1!S52=0,1,0)))</f>
        <v>3</v>
      </c>
      <c r="BN37" s="172">
        <f>IF(CdTrp1!T52=1,3,IF(CdTrp1!T52=0.5,2,IF(CdTrp1!T52=0,1,0)))</f>
        <v>3</v>
      </c>
      <c r="BO37" s="172">
        <f>IF(CdTrp1!U52=1,3,IF(CdTrp1!U52=0.5,2,IF(CdTrp1!U52=0,1,0)))</f>
        <v>3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3</v>
      </c>
      <c r="CI37" s="172">
        <f>IF(CdTrp2!I52=1,3,IF(CdTrp2!I52=0.5,2,IF(CdTrp2!I52=0,1,0)))</f>
        <v>3</v>
      </c>
      <c r="CJ37" s="172">
        <f>IF(CdTrp2!J52=1,3,IF(CdTrp2!J52=0.5,2,IF(CdTrp2!J52=0,1,0)))</f>
        <v>3</v>
      </c>
      <c r="CK37" s="172">
        <f>IF(CdTrp2!K52=1,3,IF(CdTrp2!K52=0.5,2,IF(CdTrp2!K52=0,1,0)))</f>
        <v>3</v>
      </c>
      <c r="CL37" s="172">
        <f>IF(CdTrp2!L52=1,3,IF(CdTrp2!L52=0.5,2,IF(CdTrp2!L52=0,1,0)))</f>
        <v>3</v>
      </c>
      <c r="CM37" s="172">
        <f>IF(CdTrp2!M52=1,3,IF(CdTrp2!M52=0.5,2,IF(CdTrp2!M52=0,1,0)))</f>
        <v>3</v>
      </c>
      <c r="CN37" s="172">
        <f>IF(CdTrp2!N52=1,3,IF(CdTrp2!N52=0.5,2,IF(CdTrp2!N52=0,1,0)))</f>
        <v>3</v>
      </c>
      <c r="CO37" s="172">
        <f>IF(CdTrp2!O52=1,3,IF(CdTrp2!O52=0.5,2,IF(CdTrp2!O52=0,1,0)))</f>
        <v>3</v>
      </c>
      <c r="CP37" s="172">
        <f>IF(CdTrp2!P52=1,3,IF(CdTrp2!P52=0.5,2,IF(CdTrp2!P52=0,1,0)))</f>
        <v>3</v>
      </c>
      <c r="CQ37" s="172">
        <f>IF(CdTrp2!Q52=1,3,IF(CdTrp2!Q52=0.5,2,IF(CdTrp2!Q52=0,1,0)))</f>
        <v>3</v>
      </c>
      <c r="CR37" s="172">
        <f>IF(CdTrp2!R52=1,3,IF(CdTrp2!R52=0.5,2,IF(CdTrp2!R52=0,1,0)))</f>
        <v>3</v>
      </c>
      <c r="CS37" s="172">
        <f>IF(CdTrp2!S52=1,3,IF(CdTrp2!S52=0.5,2,IF(CdTrp2!S52=0,1,0)))</f>
        <v>3</v>
      </c>
      <c r="CT37" s="172">
        <f>IF(CdTrp2!T52=1,3,IF(CdTrp2!T52=0.5,2,IF(CdTrp2!T52=0,1,0)))</f>
        <v>3</v>
      </c>
      <c r="CU37" s="172">
        <f>IF(CdTrp2!U52=1,3,IF(CdTrp2!U52=0.5,2,IF(CdTrp2!U52=0,1,0)))</f>
        <v>3</v>
      </c>
      <c r="CV37" s="172">
        <f>IF(CdTrp2!V52=1,3,IF(CdTrp2!V52=0.5,2,IF(CdTrp2!V52=0,1,0)))</f>
        <v>3</v>
      </c>
      <c r="CW37" s="172">
        <f>IF(CdTrp2!W52=1,3,IF(CdTrp2!W52=0.5,2,IF(CdTrp2!W52=0,1,0)))</f>
        <v>3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3</v>
      </c>
      <c r="AW38" s="172">
        <f>IF(CdTrp1!C53=1,3,IF(CdTrp1!C53=0.5,2,IF(CdTrp1!C53=0,1,0)))</f>
        <v>3</v>
      </c>
      <c r="AX38" s="172">
        <f>IF(CdTrp1!D53=1,3,IF(CdTrp1!D53=0.5,2,IF(CdTrp1!D53=0,1,0)))</f>
        <v>3</v>
      </c>
      <c r="AY38" s="172">
        <f>IF(CdTrp1!E53=1,3,IF(CdTrp1!E53=0.5,2,IF(CdTrp1!E53=0,1,0)))</f>
        <v>3</v>
      </c>
      <c r="AZ38" s="172">
        <f>IF(CdTrp1!F53=1,3,IF(CdTrp1!F53=0.5,2,IF(CdTrp1!F53=0,1,0)))</f>
        <v>3</v>
      </c>
      <c r="BA38" s="172">
        <f>IF(CdTrp1!G53=1,3,IF(CdTrp1!G53=0.5,2,IF(CdTrp1!G53=0,1,0)))</f>
        <v>3</v>
      </c>
      <c r="BB38" s="172">
        <f>IF(CdTrp1!H53=1,3,IF(CdTrp1!H53=0.5,2,IF(CdTrp1!H53=0,1,0)))</f>
        <v>3</v>
      </c>
      <c r="BC38" s="172">
        <f>IF(CdTrp1!I53=1,3,IF(CdTrp1!I53=0.5,2,IF(CdTrp1!I53=0,1,0)))</f>
        <v>3</v>
      </c>
      <c r="BD38" s="172">
        <f>IF(CdTrp1!J53=1,3,IF(CdTrp1!J53=0.5,2,IF(CdTrp1!J53=0,1,0)))</f>
        <v>3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3</v>
      </c>
      <c r="BP38" s="172">
        <f>IF(CdTrp1!V53=1,3,IF(CdTrp1!V53=0.5,2,IF(CdTrp1!V53=0,1,0)))</f>
        <v>3</v>
      </c>
      <c r="BQ38" s="172">
        <f>IF(CdTrp1!W53=1,3,IF(CdTrp1!W53=0.5,2,IF(CdTrp1!W53=0,1,0)))</f>
        <v>3</v>
      </c>
      <c r="BR38" s="172">
        <f>IF(CdTrp1!X53=1,3,IF(CdTrp1!X53=0.5,2,IF(CdTrp1!X53=0,1,0)))</f>
        <v>3</v>
      </c>
      <c r="BS38" s="172">
        <f>IF(CdTrp1!Y53=1,3,IF(CdTrp1!Y53=0.5,2,IF(CdTrp1!Y53=0,1,0)))</f>
        <v>3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3</v>
      </c>
      <c r="CH38" s="172">
        <f>IF(CdTrp2!H53=1,3,IF(CdTrp2!H53=0.5,2,IF(CdTrp2!H53=0,1,0)))</f>
        <v>3</v>
      </c>
      <c r="CI38" s="172">
        <f>IF(CdTrp2!I53=1,3,IF(CdTrp2!I53=0.5,2,IF(CdTrp2!I53=0,1,0)))</f>
        <v>3</v>
      </c>
      <c r="CJ38" s="172">
        <f>IF(CdTrp2!J53=1,3,IF(CdTrp2!J53=0.5,2,IF(CdTrp2!J53=0,1,0)))</f>
        <v>3</v>
      </c>
      <c r="CK38" s="172">
        <f>IF(CdTrp2!K53=1,3,IF(CdTrp2!K53=0.5,2,IF(CdTrp2!K53=0,1,0)))</f>
        <v>3</v>
      </c>
      <c r="CL38" s="172">
        <f>IF(CdTrp2!L53=1,3,IF(CdTrp2!L53=0.5,2,IF(CdTrp2!L53=0,1,0)))</f>
        <v>3</v>
      </c>
      <c r="CM38" s="172">
        <f>IF(CdTrp2!M53=1,3,IF(CdTrp2!M53=0.5,2,IF(CdTrp2!M53=0,1,0)))</f>
        <v>3</v>
      </c>
      <c r="CN38" s="172">
        <f>IF(CdTrp2!N53=1,3,IF(CdTrp2!N53=0.5,2,IF(CdTrp2!N53=0,1,0)))</f>
        <v>3</v>
      </c>
      <c r="CO38" s="172">
        <f>IF(CdTrp2!O53=1,3,IF(CdTrp2!O53=0.5,2,IF(CdTrp2!O53=0,1,0)))</f>
        <v>3</v>
      </c>
      <c r="CP38" s="172">
        <f>IF(CdTrp2!P53=1,3,IF(CdTrp2!P53=0.5,2,IF(CdTrp2!P53=0,1,0)))</f>
        <v>3</v>
      </c>
      <c r="CQ38" s="172">
        <f>IF(CdTrp2!Q53=1,3,IF(CdTrp2!Q53=0.5,2,IF(CdTrp2!Q53=0,1,0)))</f>
        <v>3</v>
      </c>
      <c r="CR38" s="172">
        <f>IF(CdTrp2!R53=1,3,IF(CdTrp2!R53=0.5,2,IF(CdTrp2!R53=0,1,0)))</f>
        <v>3</v>
      </c>
      <c r="CS38" s="172">
        <f>IF(CdTrp2!S53=1,3,IF(CdTrp2!S53=0.5,2,IF(CdTrp2!S53=0,1,0)))</f>
        <v>3</v>
      </c>
      <c r="CT38" s="172">
        <f>IF(CdTrp2!T53=1,3,IF(CdTrp2!T53=0.5,2,IF(CdTrp2!T53=0,1,0)))</f>
        <v>3</v>
      </c>
      <c r="CU38" s="172">
        <f>IF(CdTrp2!U53=1,3,IF(CdTrp2!U53=0.5,2,IF(CdTrp2!U53=0,1,0)))</f>
        <v>3</v>
      </c>
      <c r="CV38" s="172">
        <f>IF(CdTrp2!V53=1,3,IF(CdTrp2!V53=0.5,2,IF(CdTrp2!V53=0,1,0)))</f>
        <v>3</v>
      </c>
      <c r="CW38" s="172">
        <f>IF(CdTrp2!W53=1,3,IF(CdTrp2!W53=0.5,2,IF(CdTrp2!W53=0,1,0)))</f>
        <v>3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3</v>
      </c>
      <c r="BB39" s="172">
        <f>IF(CdTrp1!H54=1,3,IF(CdTrp1!H54=0.5,2,IF(CdTrp1!H54=0,1,0)))</f>
        <v>3</v>
      </c>
      <c r="BC39" s="172">
        <f>IF(CdTrp1!I54=1,3,IF(CdTrp1!I54=0.5,2,IF(CdTrp1!I54=0,1,0)))</f>
        <v>3</v>
      </c>
      <c r="BD39" s="172">
        <f>IF(CdTrp1!J54=1,3,IF(CdTrp1!J54=0.5,2,IF(CdTrp1!J54=0,1,0)))</f>
        <v>3</v>
      </c>
      <c r="BE39" s="172">
        <f>IF(CdTrp1!K54=1,3,IF(CdTrp1!K54=0.5,2,IF(CdTrp1!K54=0,1,0)))</f>
        <v>3</v>
      </c>
      <c r="BF39" s="172">
        <f>IF(CdTrp1!L54=1,3,IF(CdTrp1!L54=0.5,2,IF(CdTrp1!L54=0,1,0)))</f>
        <v>3</v>
      </c>
      <c r="BG39" s="172">
        <f>IF(CdTrp1!M54=1,3,IF(CdTrp1!M54=0.5,2,IF(CdTrp1!M54=0,1,0)))</f>
        <v>3</v>
      </c>
      <c r="BH39" s="172">
        <f>IF(CdTrp1!N54=1,3,IF(CdTrp1!N54=0.5,2,IF(CdTrp1!N54=0,1,0)))</f>
        <v>3</v>
      </c>
      <c r="BI39" s="172">
        <f>IF(CdTrp1!O54=1,3,IF(CdTrp1!O54=0.5,2,IF(CdTrp1!O54=0,1,0)))</f>
        <v>3</v>
      </c>
      <c r="BJ39" s="172">
        <f>IF(CdTrp1!P54=1,3,IF(CdTrp1!P54=0.5,2,IF(CdTrp1!P54=0,1,0)))</f>
        <v>3</v>
      </c>
      <c r="BK39" s="172">
        <f>IF(CdTrp1!Q54=1,3,IF(CdTrp1!Q54=0.5,2,IF(CdTrp1!Q54=0,1,0)))</f>
        <v>3</v>
      </c>
      <c r="BL39" s="172">
        <f>IF(CdTrp1!R54=1,3,IF(CdTrp1!R54=0.5,2,IF(CdTrp1!R54=0,1,0)))</f>
        <v>3</v>
      </c>
      <c r="BM39" s="172">
        <f>IF(CdTrp1!S54=1,3,IF(CdTrp1!S54=0.5,2,IF(CdTrp1!S54=0,1,0)))</f>
        <v>3</v>
      </c>
      <c r="BN39" s="172">
        <f>IF(CdTrp1!T54=1,3,IF(CdTrp1!T54=0.5,2,IF(CdTrp1!T54=0,1,0)))</f>
        <v>3</v>
      </c>
      <c r="BO39" s="172">
        <f>IF(CdTrp1!U54=1,3,IF(CdTrp1!U54=0.5,2,IF(CdTrp1!U54=0,1,0)))</f>
        <v>3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3</v>
      </c>
      <c r="CG39" s="172">
        <f>IF(CdTrp2!G54=1,3,IF(CdTrp2!G54=0.5,2,IF(CdTrp2!G54=0,1,0)))</f>
        <v>3</v>
      </c>
      <c r="CH39" s="172">
        <f>IF(CdTrp2!H54=1,3,IF(CdTrp2!H54=0.5,2,IF(CdTrp2!H54=0,1,0)))</f>
        <v>3</v>
      </c>
      <c r="CI39" s="172">
        <f>IF(CdTrp2!I54=1,3,IF(CdTrp2!I54=0.5,2,IF(CdTrp2!I54=0,1,0)))</f>
        <v>3</v>
      </c>
      <c r="CJ39" s="172">
        <f>IF(CdTrp2!J54=1,3,IF(CdTrp2!J54=0.5,2,IF(CdTrp2!J54=0,1,0)))</f>
        <v>3</v>
      </c>
      <c r="CK39" s="172">
        <f>IF(CdTrp2!K54=1,3,IF(CdTrp2!K54=0.5,2,IF(CdTrp2!K54=0,1,0)))</f>
        <v>3</v>
      </c>
      <c r="CL39" s="172">
        <f>IF(CdTrp2!L54=1,3,IF(CdTrp2!L54=0.5,2,IF(CdTrp2!L54=0,1,0)))</f>
        <v>3</v>
      </c>
      <c r="CM39" s="172">
        <f>IF(CdTrp2!M54=1,3,IF(CdTrp2!M54=0.5,2,IF(CdTrp2!M54=0,1,0)))</f>
        <v>3</v>
      </c>
      <c r="CN39" s="172">
        <f>IF(CdTrp2!N54=1,3,IF(CdTrp2!N54=0.5,2,IF(CdTrp2!N54=0,1,0)))</f>
        <v>3</v>
      </c>
      <c r="CO39" s="172">
        <f>IF(CdTrp2!O54=1,3,IF(CdTrp2!O54=0.5,2,IF(CdTrp2!O54=0,1,0)))</f>
        <v>3</v>
      </c>
      <c r="CP39" s="172">
        <f>IF(CdTrp2!P54=1,3,IF(CdTrp2!P54=0.5,2,IF(CdTrp2!P54=0,1,0)))</f>
        <v>3</v>
      </c>
      <c r="CQ39" s="172">
        <f>IF(CdTrp2!Q54=1,3,IF(CdTrp2!Q54=0.5,2,IF(CdTrp2!Q54=0,1,0)))</f>
        <v>3</v>
      </c>
      <c r="CR39" s="172">
        <f>IF(CdTrp2!R54=1,3,IF(CdTrp2!R54=0.5,2,IF(CdTrp2!R54=0,1,0)))</f>
        <v>3</v>
      </c>
      <c r="CS39" s="172">
        <f>IF(CdTrp2!S54=1,3,IF(CdTrp2!S54=0.5,2,IF(CdTrp2!S54=0,1,0)))</f>
        <v>3</v>
      </c>
      <c r="CT39" s="172">
        <f>IF(CdTrp2!T54=1,3,IF(CdTrp2!T54=0.5,2,IF(CdTrp2!T54=0,1,0)))</f>
        <v>3</v>
      </c>
      <c r="CU39" s="172">
        <f>IF(CdTrp2!U54=1,3,IF(CdTrp2!U54=0.5,2,IF(CdTrp2!U54=0,1,0)))</f>
        <v>3</v>
      </c>
      <c r="CV39" s="172">
        <f>IF(CdTrp2!V54=1,3,IF(CdTrp2!V54=0.5,2,IF(CdTrp2!V54=0,1,0)))</f>
        <v>3</v>
      </c>
      <c r="CW39" s="172">
        <f>IF(CdTrp2!W54=1,3,IF(CdTrp2!W54=0.5,2,IF(CdTrp2!W54=0,1,0)))</f>
        <v>3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3</v>
      </c>
      <c r="AW40" s="172">
        <f>IF(CdTrp1!C55=1,3,IF(CdTrp1!C55=0.5,2,IF(CdTrp1!C55=0,1,0)))</f>
        <v>3</v>
      </c>
      <c r="AX40" s="172">
        <f>IF(CdTrp1!D55=1,3,IF(CdTrp1!D55=0.5,2,IF(CdTrp1!D55=0,1,0)))</f>
        <v>3</v>
      </c>
      <c r="AY40" s="172">
        <f>IF(CdTrp1!E55=1,3,IF(CdTrp1!E55=0.5,2,IF(CdTrp1!E55=0,1,0)))</f>
        <v>3</v>
      </c>
      <c r="AZ40" s="172">
        <f>IF(CdTrp1!F55=1,3,IF(CdTrp1!F55=0.5,2,IF(CdTrp1!F55=0,1,0)))</f>
        <v>3</v>
      </c>
      <c r="BA40" s="172">
        <f>IF(CdTrp1!G55=1,3,IF(CdTrp1!G55=0.5,2,IF(CdTrp1!G55=0,1,0)))</f>
        <v>3</v>
      </c>
      <c r="BB40" s="172">
        <f>IF(CdTrp1!H55=1,3,IF(CdTrp1!H55=0.5,2,IF(CdTrp1!H55=0,1,0)))</f>
        <v>3</v>
      </c>
      <c r="BC40" s="172">
        <f>IF(CdTrp1!I55=1,3,IF(CdTrp1!I55=0.5,2,IF(CdTrp1!I55=0,1,0)))</f>
        <v>3</v>
      </c>
      <c r="BD40" s="172">
        <f>IF(CdTrp1!J55=1,3,IF(CdTrp1!J55=0.5,2,IF(CdTrp1!J55=0,1,0)))</f>
        <v>3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3</v>
      </c>
      <c r="BP40" s="172">
        <f>IF(CdTrp1!V55=1,3,IF(CdTrp1!V55=0.5,2,IF(CdTrp1!V55=0,1,0)))</f>
        <v>3</v>
      </c>
      <c r="BQ40" s="172">
        <f>IF(CdTrp1!W55=1,3,IF(CdTrp1!W55=0.5,2,IF(CdTrp1!W55=0,1,0)))</f>
        <v>3</v>
      </c>
      <c r="BR40" s="172">
        <f>IF(CdTrp1!X55=1,3,IF(CdTrp1!X55=0.5,2,IF(CdTrp1!X55=0,1,0)))</f>
        <v>3</v>
      </c>
      <c r="BS40" s="172">
        <f>IF(CdTrp1!Y55=1,3,IF(CdTrp1!Y55=0.5,2,IF(CdTrp1!Y55=0,1,0)))</f>
        <v>3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0</v>
      </c>
      <c r="BB48" s="172">
        <f>IF(CdTrp1!H76=1,1,IF(CdTrp1!H76=2,2,IF(CdTrp1!H76=3,2,0)))</f>
        <v>0</v>
      </c>
      <c r="BC48" s="172">
        <f>IF(CdTrp1!I76=1,1,IF(CdTrp1!I76=2,2,IF(CdTrp1!I76=3,2,0)))</f>
        <v>0</v>
      </c>
      <c r="BD48" s="172">
        <f>IF(CdTrp1!J76=1,1,IF(CdTrp1!J76=2,2,IF(CdTrp1!J76=3,2,0)))</f>
        <v>0</v>
      </c>
      <c r="BE48" s="172">
        <f>IF(CdTrp1!K76=1,1,IF(CdTrp1!K76=2,2,IF(CdTrp1!K76=3,2,0)))</f>
        <v>0</v>
      </c>
      <c r="BF48" s="172">
        <f>IF(CdTrp1!L76=1,1,IF(CdTrp1!L76=2,2,IF(CdTrp1!L76=3,2,0)))</f>
        <v>0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0</v>
      </c>
      <c r="BO48" s="172">
        <f>IF(CdTrp1!U76=1,1,IF(CdTrp1!U76=2,2,IF(CdTrp1!U76=3,2,0)))</f>
        <v>0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0</v>
      </c>
      <c r="CK48" s="172">
        <f>IF(CdTrp2!K76=1,1,IF(CdTrp2!K76=2,2,IF(CdTrp2!K76=3,2,0)))</f>
        <v>0</v>
      </c>
      <c r="CL48" s="172">
        <f>IF(CdTrp2!L76=1,1,IF(CdTrp2!L76=2,2,IF(CdTrp2!L76=3,2,0)))</f>
        <v>0</v>
      </c>
      <c r="CM48" s="172">
        <f>IF(CdTrp2!M76=1,1,IF(CdTrp2!M76=2,2,IF(CdTrp2!M76=3,2,0)))</f>
        <v>0</v>
      </c>
      <c r="CN48" s="172">
        <f>IF(CdTrp2!N76=1,1,IF(CdTrp2!N76=2,2,IF(CdTrp2!N76=3,2,0)))</f>
        <v>0</v>
      </c>
      <c r="CO48" s="172">
        <f>IF(CdTrp2!O76=1,1,IF(CdTrp2!O76=2,2,IF(CdTrp2!O76=3,2,0)))</f>
        <v>0</v>
      </c>
      <c r="CP48" s="172">
        <f>IF(CdTrp2!P76=1,1,IF(CdTrp2!P76=2,2,IF(CdTrp2!P76=3,2,0)))</f>
        <v>0</v>
      </c>
      <c r="CQ48" s="172">
        <f>IF(CdTrp2!Q76=1,1,IF(CdTrp2!Q76=2,2,IF(CdTrp2!Q76=3,2,0)))</f>
        <v>0</v>
      </c>
      <c r="CR48" s="172">
        <f>IF(CdTrp2!R76=1,1,IF(CdTrp2!R76=2,2,IF(CdTrp2!R76=3,2,0)))</f>
        <v>0</v>
      </c>
      <c r="CS48" s="172">
        <f>IF(CdTrp2!S76=1,1,IF(CdTrp2!S76=2,2,IF(CdTrp2!S76=3,2,0)))</f>
        <v>0</v>
      </c>
      <c r="CT48" s="172">
        <f>IF(CdTrp2!T76=1,1,IF(CdTrp2!T76=2,2,IF(CdTrp2!T76=3,2,0)))</f>
        <v>0</v>
      </c>
      <c r="CU48" s="172">
        <f>IF(CdTrp2!U76=1,1,IF(CdTrp2!U76=2,2,IF(CdTrp2!U76=3,2,0)))</f>
        <v>0</v>
      </c>
      <c r="CV48" s="172">
        <f>IF(CdTrp2!V76=1,1,IF(CdTrp2!V76=2,2,IF(CdTrp2!V76=3,2,0)))</f>
        <v>0</v>
      </c>
      <c r="CW48" s="172">
        <f>IF(CdTrp2!W76=1,1,IF(CdTrp2!W76=2,2,IF(CdTrp2!W76=3,2,0)))</f>
        <v>0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0</v>
      </c>
      <c r="AW49" s="172">
        <f>IF(CdTrp1!C77=1,1,IF(CdTrp1!C77=2,2,IF(CdTrp1!C77=3,2,0)))</f>
        <v>0</v>
      </c>
      <c r="AX49" s="172">
        <f>IF(CdTrp1!D77=1,1,IF(CdTrp1!D77=2,2,IF(CdTrp1!D77=3,2,0)))</f>
        <v>0</v>
      </c>
      <c r="AY49" s="172">
        <f>IF(CdTrp1!E77=1,1,IF(CdTrp1!E77=2,2,IF(CdTrp1!E77=3,2,0)))</f>
        <v>0</v>
      </c>
      <c r="AZ49" s="172">
        <f>IF(CdTrp1!F77=1,1,IF(CdTrp1!F77=2,2,IF(CdTrp1!F77=3,2,0)))</f>
        <v>0</v>
      </c>
      <c r="BA49" s="172">
        <f>IF(CdTrp1!G77=1,1,IF(CdTrp1!G77=2,2,IF(CdTrp1!G77=3,2,0)))</f>
        <v>0</v>
      </c>
      <c r="BB49" s="172">
        <f>IF(CdTrp1!H77=1,1,IF(CdTrp1!H77=2,2,IF(CdTrp1!H77=3,2,0)))</f>
        <v>0</v>
      </c>
      <c r="BC49" s="172">
        <f>IF(CdTrp1!I77=1,1,IF(CdTrp1!I77=2,2,IF(CdTrp1!I77=3,2,0)))</f>
        <v>0</v>
      </c>
      <c r="BD49" s="172">
        <f>IF(CdTrp1!J77=1,1,IF(CdTrp1!J77=2,2,IF(CdTrp1!J77=3,2,0)))</f>
        <v>0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0</v>
      </c>
      <c r="BP49" s="172">
        <f>IF(CdTrp1!V77=1,1,IF(CdTrp1!V77=2,2,IF(CdTrp1!V77=3,2,0)))</f>
        <v>0</v>
      </c>
      <c r="BQ49" s="172">
        <f>IF(CdTrp1!W77=1,1,IF(CdTrp1!W77=2,2,IF(CdTrp1!W77=3,2,0)))</f>
        <v>0</v>
      </c>
      <c r="BR49" s="172">
        <f>IF(CdTrp1!X77=1,1,IF(CdTrp1!X77=2,2,IF(CdTrp1!X77=3,2,0)))</f>
        <v>0</v>
      </c>
      <c r="BS49" s="172">
        <f>IF(CdTrp1!Y77=1,1,IF(CdTrp1!Y77=2,2,IF(CdTrp1!Y77=3,2,0)))</f>
        <v>0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0</v>
      </c>
      <c r="CK49" s="172">
        <f>IF(CdTrp2!K77=1,1,IF(CdTrp2!K77=2,2,IF(CdTrp2!K77=3,2,0)))</f>
        <v>0</v>
      </c>
      <c r="CL49" s="172">
        <f>IF(CdTrp2!L77=1,1,IF(CdTrp2!L77=2,2,IF(CdTrp2!L77=3,2,0)))</f>
        <v>0</v>
      </c>
      <c r="CM49" s="172">
        <f>IF(CdTrp2!M77=1,1,IF(CdTrp2!M77=2,2,IF(CdTrp2!M77=3,2,0)))</f>
        <v>0</v>
      </c>
      <c r="CN49" s="172">
        <f>IF(CdTrp2!N77=1,1,IF(CdTrp2!N77=2,2,IF(CdTrp2!N77=3,2,0)))</f>
        <v>0</v>
      </c>
      <c r="CO49" s="172">
        <f>IF(CdTrp2!O77=1,1,IF(CdTrp2!O77=2,2,IF(CdTrp2!O77=3,2,0)))</f>
        <v>0</v>
      </c>
      <c r="CP49" s="172">
        <f>IF(CdTrp2!P77=1,1,IF(CdTrp2!P77=2,2,IF(CdTrp2!P77=3,2,0)))</f>
        <v>0</v>
      </c>
      <c r="CQ49" s="172">
        <f>IF(CdTrp2!Q77=1,1,IF(CdTrp2!Q77=2,2,IF(CdTrp2!Q77=3,2,0)))</f>
        <v>0</v>
      </c>
      <c r="CR49" s="172">
        <f>IF(CdTrp2!R77=1,1,IF(CdTrp2!R77=2,2,IF(CdTrp2!R77=3,2,0)))</f>
        <v>0</v>
      </c>
      <c r="CS49" s="172">
        <f>IF(CdTrp2!S77=1,1,IF(CdTrp2!S77=2,2,IF(CdTrp2!S77=3,2,0)))</f>
        <v>0</v>
      </c>
      <c r="CT49" s="172">
        <f>IF(CdTrp2!T77=1,1,IF(CdTrp2!T77=2,2,IF(CdTrp2!T77=3,2,0)))</f>
        <v>0</v>
      </c>
      <c r="CU49" s="172">
        <f>IF(CdTrp2!U77=1,1,IF(CdTrp2!U77=2,2,IF(CdTrp2!U77=3,2,0)))</f>
        <v>0</v>
      </c>
      <c r="CV49" s="172">
        <f>IF(CdTrp2!V77=1,1,IF(CdTrp2!V77=2,2,IF(CdTrp2!V77=3,2,0)))</f>
        <v>0</v>
      </c>
      <c r="CW49" s="172">
        <f>IF(CdTrp2!W77=1,1,IF(CdTrp2!W77=2,2,IF(CdTrp2!W77=3,2,0)))</f>
        <v>0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0</v>
      </c>
      <c r="BB50" s="172">
        <f>IF(CdTrp1!H78=1,1,IF(CdTrp1!H78=2,2,IF(CdTrp1!H78=3,2,0)))</f>
        <v>0</v>
      </c>
      <c r="BC50" s="172">
        <f>IF(CdTrp1!I78=1,1,IF(CdTrp1!I78=2,2,IF(CdTrp1!I78=3,2,0)))</f>
        <v>0</v>
      </c>
      <c r="BD50" s="172">
        <f>IF(CdTrp1!J78=1,1,IF(CdTrp1!J78=2,2,IF(CdTrp1!J78=3,2,0)))</f>
        <v>0</v>
      </c>
      <c r="BE50" s="172">
        <f>IF(CdTrp1!K78=1,1,IF(CdTrp1!K78=2,2,IF(CdTrp1!K78=3,2,0)))</f>
        <v>0</v>
      </c>
      <c r="BF50" s="172">
        <f>IF(CdTrp1!L78=1,1,IF(CdTrp1!L78=2,2,IF(CdTrp1!L78=3,2,0)))</f>
        <v>0</v>
      </c>
      <c r="BG50" s="172">
        <f>IF(CdTrp1!M78=1,1,IF(CdTrp1!M78=2,2,IF(CdTrp1!M78=3,2,0)))</f>
        <v>0</v>
      </c>
      <c r="BH50" s="172">
        <f>IF(CdTrp1!N78=1,1,IF(CdTrp1!N78=2,2,IF(CdTrp1!N78=3,2,0)))</f>
        <v>0</v>
      </c>
      <c r="BI50" s="172">
        <f>IF(CdTrp1!O78=1,1,IF(CdTrp1!O78=2,2,IF(CdTrp1!O78=3,2,0)))</f>
        <v>0</v>
      </c>
      <c r="BJ50" s="172">
        <f>IF(CdTrp1!P78=1,1,IF(CdTrp1!P78=2,2,IF(CdTrp1!P78=3,2,0)))</f>
        <v>0</v>
      </c>
      <c r="BK50" s="172">
        <f>IF(CdTrp1!Q78=1,1,IF(CdTrp1!Q78=2,2,IF(CdTrp1!Q78=3,2,0)))</f>
        <v>0</v>
      </c>
      <c r="BL50" s="172">
        <f>IF(CdTrp1!R78=1,1,IF(CdTrp1!R78=2,2,IF(CdTrp1!R78=3,2,0)))</f>
        <v>0</v>
      </c>
      <c r="BM50" s="172">
        <f>IF(CdTrp1!S78=1,1,IF(CdTrp1!S78=2,2,IF(CdTrp1!S78=3,2,0)))</f>
        <v>0</v>
      </c>
      <c r="BN50" s="172">
        <f>IF(CdTrp1!T78=1,1,IF(CdTrp1!T78=2,2,IF(CdTrp1!T78=3,2,0)))</f>
        <v>0</v>
      </c>
      <c r="BO50" s="172">
        <f>IF(CdTrp1!U78=1,1,IF(CdTrp1!U78=2,2,IF(CdTrp1!U78=3,2,0)))</f>
        <v>0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0</v>
      </c>
      <c r="CI50" s="172">
        <f>IF(CdTrp2!I78=1,1,IF(CdTrp2!I78=2,2,IF(CdTrp2!I78=3,2,0)))</f>
        <v>0</v>
      </c>
      <c r="CJ50" s="172">
        <f>IF(CdTrp2!J78=1,1,IF(CdTrp2!J78=2,2,IF(CdTrp2!J78=3,2,0)))</f>
        <v>0</v>
      </c>
      <c r="CK50" s="172">
        <f>IF(CdTrp2!K78=1,1,IF(CdTrp2!K78=2,2,IF(CdTrp2!K78=3,2,0)))</f>
        <v>0</v>
      </c>
      <c r="CL50" s="172">
        <f>IF(CdTrp2!L78=1,1,IF(CdTrp2!L78=2,2,IF(CdTrp2!L78=3,2,0)))</f>
        <v>0</v>
      </c>
      <c r="CM50" s="172">
        <f>IF(CdTrp2!M78=1,1,IF(CdTrp2!M78=2,2,IF(CdTrp2!M78=3,2,0)))</f>
        <v>0</v>
      </c>
      <c r="CN50" s="172">
        <f>IF(CdTrp2!N78=1,1,IF(CdTrp2!N78=2,2,IF(CdTrp2!N78=3,2,0)))</f>
        <v>0</v>
      </c>
      <c r="CO50" s="172">
        <f>IF(CdTrp2!O78=1,1,IF(CdTrp2!O78=2,2,IF(CdTrp2!O78=3,2,0)))</f>
        <v>0</v>
      </c>
      <c r="CP50" s="172">
        <f>IF(CdTrp2!P78=1,1,IF(CdTrp2!P78=2,2,IF(CdTrp2!P78=3,2,0)))</f>
        <v>0</v>
      </c>
      <c r="CQ50" s="172">
        <f>IF(CdTrp2!Q78=1,1,IF(CdTrp2!Q78=2,2,IF(CdTrp2!Q78=3,2,0)))</f>
        <v>0</v>
      </c>
      <c r="CR50" s="172">
        <f>IF(CdTrp2!R78=1,1,IF(CdTrp2!R78=2,2,IF(CdTrp2!R78=3,2,0)))</f>
        <v>0</v>
      </c>
      <c r="CS50" s="172">
        <f>IF(CdTrp2!S78=1,1,IF(CdTrp2!S78=2,2,IF(CdTrp2!S78=3,2,0)))</f>
        <v>0</v>
      </c>
      <c r="CT50" s="172">
        <f>IF(CdTrp2!T78=1,1,IF(CdTrp2!T78=2,2,IF(CdTrp2!T78=3,2,0)))</f>
        <v>0</v>
      </c>
      <c r="CU50" s="172">
        <f>IF(CdTrp2!U78=1,1,IF(CdTrp2!U78=2,2,IF(CdTrp2!U78=3,2,0)))</f>
        <v>0</v>
      </c>
      <c r="CV50" s="172">
        <f>IF(CdTrp2!V78=1,1,IF(CdTrp2!V78=2,2,IF(CdTrp2!V78=3,2,0)))</f>
        <v>0</v>
      </c>
      <c r="CW50" s="172">
        <f>IF(CdTrp2!W78=1,1,IF(CdTrp2!W78=2,2,IF(CdTrp2!W78=3,2,0)))</f>
        <v>0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0</v>
      </c>
      <c r="AW51" s="172">
        <f>IF(CdTrp1!C79=1,1,IF(CdTrp1!C79=2,2,IF(CdTrp1!C79=3,2,0)))</f>
        <v>0</v>
      </c>
      <c r="AX51" s="172">
        <f>IF(CdTrp1!D79=1,1,IF(CdTrp1!D79=2,2,IF(CdTrp1!D79=3,2,0)))</f>
        <v>0</v>
      </c>
      <c r="AY51" s="172">
        <f>IF(CdTrp1!E79=1,1,IF(CdTrp1!E79=2,2,IF(CdTrp1!E79=3,2,0)))</f>
        <v>0</v>
      </c>
      <c r="AZ51" s="172">
        <f>IF(CdTrp1!F79=1,1,IF(CdTrp1!F79=2,2,IF(CdTrp1!F79=3,2,0)))</f>
        <v>0</v>
      </c>
      <c r="BA51" s="172">
        <f>IF(CdTrp1!G79=1,1,IF(CdTrp1!G79=2,2,IF(CdTrp1!G79=3,2,0)))</f>
        <v>0</v>
      </c>
      <c r="BB51" s="172">
        <f>IF(CdTrp1!H79=1,1,IF(CdTrp1!H79=2,2,IF(CdTrp1!H79=3,2,0)))</f>
        <v>0</v>
      </c>
      <c r="BC51" s="172">
        <f>IF(CdTrp1!I79=1,1,IF(CdTrp1!I79=2,2,IF(CdTrp1!I79=3,2,0)))</f>
        <v>0</v>
      </c>
      <c r="BD51" s="172">
        <f>IF(CdTrp1!J79=1,1,IF(CdTrp1!J79=2,2,IF(CdTrp1!J79=3,2,0)))</f>
        <v>0</v>
      </c>
      <c r="BE51" s="172">
        <f>IF(CdTrp1!K79=1,1,IF(CdTrp1!K79=2,2,IF(CdTrp1!K79=3,2,0)))</f>
        <v>0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0</v>
      </c>
      <c r="BP51" s="172">
        <f>IF(CdTrp1!V79=1,1,IF(CdTrp1!V79=2,2,IF(CdTrp1!V79=3,2,0)))</f>
        <v>0</v>
      </c>
      <c r="BQ51" s="172">
        <f>IF(CdTrp1!W79=1,1,IF(CdTrp1!W79=2,2,IF(CdTrp1!W79=3,2,0)))</f>
        <v>0</v>
      </c>
      <c r="BR51" s="172">
        <f>IF(CdTrp1!X79=1,1,IF(CdTrp1!X79=2,2,IF(CdTrp1!X79=3,2,0)))</f>
        <v>0</v>
      </c>
      <c r="BS51" s="172">
        <f>IF(CdTrp1!Y79=1,1,IF(CdTrp1!Y79=2,2,IF(CdTrp1!Y79=3,2,0)))</f>
        <v>0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20.61</v>
      </c>
      <c r="C55" s="189">
        <f>IF(B55&gt;[1]Trav!E121,[1]Trav!C121,[1]Trav!B121)</f>
        <v>7.2</v>
      </c>
      <c r="D55"/>
      <c r="E55" s="171"/>
      <c r="F55" s="172">
        <f t="shared" si="32"/>
        <v>148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22.9</v>
      </c>
      <c r="C56" s="189">
        <f>IF(B56&gt;[1]Trav!E121,[1]Trav!C121,[1]Trav!B121)</f>
        <v>7.2</v>
      </c>
      <c r="D56"/>
      <c r="E56" s="171"/>
      <c r="F56" s="172">
        <f t="shared" si="32"/>
        <v>165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15</v>
      </c>
      <c r="C57" s="189">
        <f>IF(B57&gt;[1]Trav!E121,[1]Trav!C121,[1]Trav!B121)</f>
        <v>7.2</v>
      </c>
      <c r="D57"/>
      <c r="E57" s="171"/>
      <c r="F57" s="172">
        <f t="shared" si="32"/>
        <v>108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2.2899999999999991</v>
      </c>
      <c r="C58" s="189">
        <f>IF(B58&gt;[1]Trav!E122,[1]Trav!C122,[1]Trav!B122)</f>
        <v>4.4000000000000004</v>
      </c>
      <c r="E58" s="171"/>
      <c r="F58" s="172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7.1</v>
      </c>
      <c r="C59" s="189">
        <f>[1]Trav!$B$123</f>
        <v>7.2</v>
      </c>
      <c r="E59" s="171"/>
      <c r="F59" s="172">
        <f t="shared" si="32"/>
        <v>51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0</v>
      </c>
      <c r="AZ60" s="172">
        <f>IF(AZ15=0,0,IF(AZ37=3,0,VALUE(CONCATENATE(Travail!AZ26,Travail!AZ37,Travail!AZ48))))</f>
        <v>0</v>
      </c>
      <c r="BA60" s="172">
        <f>IF(BA15=0,0,IF(BA37=3,0,VALUE(CONCATENATE(Travail!BA26,Travail!BA37,Travail!BA48))))</f>
        <v>0</v>
      </c>
      <c r="BB60" s="172">
        <f>IF(BB15=0,0,IF(BB37=3,0,VALUE(CONCATENATE(Travail!BB26,Travail!BB37,Travail!BB48))))</f>
        <v>0</v>
      </c>
      <c r="BC60" s="172">
        <f>IF(BC15=0,0,IF(BC37=3,0,VALUE(CONCATENATE(Travail!BC26,Travail!BC37,Travail!BC48))))</f>
        <v>0</v>
      </c>
      <c r="BD60" s="172">
        <f>IF(BD15=0,0,IF(BD37=3,0,VALUE(CONCATENATE(Travail!BD26,Travail!BD37,Travail!BD48))))</f>
        <v>0</v>
      </c>
      <c r="BE60" s="172">
        <f>IF(BE15=0,0,IF(BE37=3,0,VALUE(CONCATENATE(Travail!BE26,Travail!BE37,Travail!BE48))))</f>
        <v>0</v>
      </c>
      <c r="BF60" s="172">
        <f>IF(BF15=0,0,IF(BF37=3,0,VALUE(CONCATENATE(Travail!BF26,Travail!BF37,Travail!BF48))))</f>
        <v>0</v>
      </c>
      <c r="BG60" s="172">
        <f>IF(BG15=0,0,IF(BG37=3,0,VALUE(CONCATENATE(Travail!BG26,Travail!BG37,Travail!BG48))))</f>
        <v>0</v>
      </c>
      <c r="BH60" s="172">
        <f>IF(BH15=0,0,IF(BH37=3,0,VALUE(CONCATENATE(Travail!BH26,Travail!BH37,Travail!BH48))))</f>
        <v>0</v>
      </c>
      <c r="BI60" s="172">
        <f>IF(BI15=0,0,IF(BI37=3,0,VALUE(CONCATENATE(Travail!BI26,Travail!BI37,Travail!BI48))))</f>
        <v>0</v>
      </c>
      <c r="BJ60" s="172">
        <f>IF(BJ15=0,0,IF(BJ37=3,0,VALUE(CONCATENATE(Travail!BJ26,Travail!BJ37,Travail!BJ48))))</f>
        <v>0</v>
      </c>
      <c r="BK60" s="172">
        <f>IF(BK15=0,0,IF(BK37=3,0,VALUE(CONCATENATE(Travail!BK26,Travail!BK37,Travail!BK48))))</f>
        <v>0</v>
      </c>
      <c r="BL60" s="172">
        <f>IF(BL15=0,0,IF(BL37=3,0,VALUE(CONCATENATE(Travail!BL26,Travail!BL37,Travail!BL48))))</f>
        <v>0</v>
      </c>
      <c r="BM60" s="172">
        <f>IF(BM15=0,0,IF(BM37=3,0,VALUE(CONCATENATE(Travail!BM26,Travail!BM37,Travail!BM48))))</f>
        <v>0</v>
      </c>
      <c r="BN60" s="172">
        <f>IF(BN15=0,0,IF(BN37=3,0,VALUE(CONCATENATE(Travail!BN26,Travail!BN37,Travail!BN48))))</f>
        <v>0</v>
      </c>
      <c r="BO60" s="172">
        <f>IF(BO15=0,0,IF(BO37=3,0,VALUE(CONCATENATE(Travail!BO26,Travail!BO37,Travail!BO48))))</f>
        <v>0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0</v>
      </c>
      <c r="CI60" s="172">
        <f>IF(CI15=0,0,IF(CI37=3,0,VALUE(CONCATENATE(Travail!CI26,Travail!CI37,Travail!CI48))))</f>
        <v>0</v>
      </c>
      <c r="CJ60" s="172">
        <f>IF(CJ15=0,0,IF(CJ37=3,0,VALUE(CONCATENATE(Travail!CJ26,Travail!CJ37,Travail!CJ48))))</f>
        <v>0</v>
      </c>
      <c r="CK60" s="172">
        <f>IF(CK15=0,0,IF(CK37=3,0,VALUE(CONCATENATE(Travail!CK26,Travail!CK37,Travail!CK48))))</f>
        <v>0</v>
      </c>
      <c r="CL60" s="172">
        <f>IF(CL15=0,0,IF(CL37=3,0,VALUE(CONCATENATE(Travail!CL26,Travail!CL37,Travail!CL48))))</f>
        <v>0</v>
      </c>
      <c r="CM60" s="172">
        <f>IF(CM15=0,0,IF(CM37=3,0,VALUE(CONCATENATE(Travail!CM26,Travail!CM37,Travail!CM48))))</f>
        <v>0</v>
      </c>
      <c r="CN60" s="172">
        <f>IF(CN15=0,0,IF(CN37=3,0,VALUE(CONCATENATE(Travail!CN26,Travail!CN37,Travail!CN48))))</f>
        <v>0</v>
      </c>
      <c r="CO60" s="172">
        <f>IF(CO15=0,0,IF(CO37=3,0,VALUE(CONCATENATE(Travail!CO26,Travail!CO37,Travail!CO48))))</f>
        <v>0</v>
      </c>
      <c r="CP60" s="172">
        <f>IF(CP15=0,0,IF(CP37=3,0,VALUE(CONCATENATE(Travail!CP26,Travail!CP37,Travail!CP48))))</f>
        <v>0</v>
      </c>
      <c r="CQ60" s="172">
        <f>IF(CQ15=0,0,IF(CQ37=3,0,VALUE(CONCATENATE(Travail!CQ26,Travail!CQ37,Travail!CQ48))))</f>
        <v>0</v>
      </c>
      <c r="CR60" s="172">
        <f>IF(CR15=0,0,IF(CR37=3,0,VALUE(CONCATENATE(Travail!CR26,Travail!CR37,Travail!CR48))))</f>
        <v>0</v>
      </c>
      <c r="CS60" s="172">
        <f>IF(CS15=0,0,IF(CS37=3,0,VALUE(CONCATENATE(Travail!CS26,Travail!CS37,Travail!CS48))))</f>
        <v>0</v>
      </c>
      <c r="CT60" s="172">
        <f>IF(CT15=0,0,IF(CT37=3,0,VALUE(CONCATENATE(Travail!CT26,Travail!CT37,Travail!CT48))))</f>
        <v>0</v>
      </c>
      <c r="CU60" s="172">
        <f>IF(CU15=0,0,IF(CU37=3,0,VALUE(CONCATENATE(Travail!CU26,Travail!CU37,Travail!CU48))))</f>
        <v>0</v>
      </c>
      <c r="CV60" s="172">
        <f>IF(CV15=0,0,IF(CV37=3,0,VALUE(CONCATENATE(Travail!CV26,Travail!CV37,Travail!CV48))))</f>
        <v>0</v>
      </c>
      <c r="CW60" s="172">
        <f>IF(CW15=0,0,IF(CW37=3,0,VALUE(CONCATENATE(Travail!CW26,Travail!CW37,Travail!CW48))))</f>
        <v>0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0</v>
      </c>
      <c r="AW61" s="172">
        <f>IF(AW16=0,0,IF(AW38=3,0,VALUE(CONCATENATE(Travail!AW27,Travail!AW38,Travail!AW49))))</f>
        <v>0</v>
      </c>
      <c r="AX61" s="172">
        <f>IF(AX16=0,0,IF(AX38=3,0,VALUE(CONCATENATE(Travail!AX27,Travail!AX38,Travail!AX49))))</f>
        <v>0</v>
      </c>
      <c r="AY61" s="172">
        <f>IF(AY16=0,0,IF(AY38=3,0,VALUE(CONCATENATE(Travail!AY27,Travail!AY38,Travail!AY49))))</f>
        <v>0</v>
      </c>
      <c r="AZ61" s="172">
        <f>IF(AZ16=0,0,IF(AZ38=3,0,VALUE(CONCATENATE(Travail!AZ27,Travail!AZ38,Travail!AZ49))))</f>
        <v>0</v>
      </c>
      <c r="BA61" s="172">
        <f>IF(BA16=0,0,IF(BA38=3,0,VALUE(CONCATENATE(Travail!BA27,Travail!BA38,Travail!BA49))))</f>
        <v>0</v>
      </c>
      <c r="BB61" s="172">
        <f>IF(BB16=0,0,IF(BB38=3,0,VALUE(CONCATENATE(Travail!BB27,Travail!BB38,Travail!BB49))))</f>
        <v>0</v>
      </c>
      <c r="BC61" s="172">
        <f>IF(BC16=0,0,IF(BC38=3,0,VALUE(CONCATENATE(Travail!BC27,Travail!BC38,Travail!BC49))))</f>
        <v>0</v>
      </c>
      <c r="BD61" s="172">
        <f>IF(BD16=0,0,IF(BD38=3,0,VALUE(CONCATENATE(Travail!BD27,Travail!BD38,Travail!BD49))))</f>
        <v>0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0</v>
      </c>
      <c r="BP61" s="172">
        <f>IF(BP16=0,0,IF(BP38=3,0,VALUE(CONCATENATE(Travail!BP27,Travail!BP38,Travail!BP49))))</f>
        <v>0</v>
      </c>
      <c r="BQ61" s="172">
        <f>IF(BQ16=0,0,IF(BQ38=3,0,VALUE(CONCATENATE(Travail!BQ27,Travail!BQ38,Travail!BQ49))))</f>
        <v>0</v>
      </c>
      <c r="BR61" s="172">
        <f>IF(BR16=0,0,IF(BR38=3,0,VALUE(CONCATENATE(Travail!BR27,Travail!BR38,Travail!BR49))))</f>
        <v>0</v>
      </c>
      <c r="BS61" s="172">
        <f>IF(BS16=0,0,IF(BS38=3,0,VALUE(CONCATENATE(Travail!BS27,Travail!BS38,Travail!BS49))))</f>
        <v>0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0</v>
      </c>
      <c r="CH61" s="172">
        <f>IF(CH16=0,0,IF(CH38=3,0,VALUE(CONCATENATE(Travail!CH27,Travail!CH38,Travail!CH49))))</f>
        <v>0</v>
      </c>
      <c r="CI61" s="172">
        <f>IF(CI16=0,0,IF(CI38=3,0,VALUE(CONCATENATE(Travail!CI27,Travail!CI38,Travail!CI49))))</f>
        <v>0</v>
      </c>
      <c r="CJ61" s="172">
        <f>IF(CJ16=0,0,IF(CJ38=3,0,VALUE(CONCATENATE(Travail!CJ27,Travail!CJ38,Travail!CJ49))))</f>
        <v>0</v>
      </c>
      <c r="CK61" s="172">
        <f>IF(CK16=0,0,IF(CK38=3,0,VALUE(CONCATENATE(Travail!CK27,Travail!CK38,Travail!CK49))))</f>
        <v>0</v>
      </c>
      <c r="CL61" s="172">
        <f>IF(CL16=0,0,IF(CL38=3,0,VALUE(CONCATENATE(Travail!CL27,Travail!CL38,Travail!CL49))))</f>
        <v>0</v>
      </c>
      <c r="CM61" s="172">
        <f>IF(CM16=0,0,IF(CM38=3,0,VALUE(CONCATENATE(Travail!CM27,Travail!CM38,Travail!CM49))))</f>
        <v>0</v>
      </c>
      <c r="CN61" s="172">
        <f>IF(CN16=0,0,IF(CN38=3,0,VALUE(CONCATENATE(Travail!CN27,Travail!CN38,Travail!CN49))))</f>
        <v>0</v>
      </c>
      <c r="CO61" s="172">
        <f>IF(CO16=0,0,IF(CO38=3,0,VALUE(CONCATENATE(Travail!CO27,Travail!CO38,Travail!CO49))))</f>
        <v>0</v>
      </c>
      <c r="CP61" s="172">
        <f>IF(CP16=0,0,IF(CP38=3,0,VALUE(CONCATENATE(Travail!CP27,Travail!CP38,Travail!CP49))))</f>
        <v>0</v>
      </c>
      <c r="CQ61" s="172">
        <f>IF(CQ16=0,0,IF(CQ38=3,0,VALUE(CONCATENATE(Travail!CQ27,Travail!CQ38,Travail!CQ49))))</f>
        <v>0</v>
      </c>
      <c r="CR61" s="172">
        <f>IF(CR16=0,0,IF(CR38=3,0,VALUE(CONCATENATE(Travail!CR27,Travail!CR38,Travail!CR49))))</f>
        <v>0</v>
      </c>
      <c r="CS61" s="172">
        <f>IF(CS16=0,0,IF(CS38=3,0,VALUE(CONCATENATE(Travail!CS27,Travail!CS38,Travail!CS49))))</f>
        <v>0</v>
      </c>
      <c r="CT61" s="172">
        <f>IF(CT16=0,0,IF(CT38=3,0,VALUE(CONCATENATE(Travail!CT27,Travail!CT38,Travail!CT49))))</f>
        <v>0</v>
      </c>
      <c r="CU61" s="172">
        <f>IF(CU16=0,0,IF(CU38=3,0,VALUE(CONCATENATE(Travail!CU27,Travail!CU38,Travail!CU49))))</f>
        <v>0</v>
      </c>
      <c r="CV61" s="172">
        <f>IF(CV16=0,0,IF(CV38=3,0,VALUE(CONCATENATE(Travail!CV27,Travail!CV38,Travail!CV49))))</f>
        <v>0</v>
      </c>
      <c r="CW61" s="172">
        <f>IF(CW16=0,0,IF(CW38=3,0,VALUE(CONCATENATE(Travail!CW27,Travail!CW38,Travail!CW49))))</f>
        <v>0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0</v>
      </c>
      <c r="BB62" s="172">
        <f>IF(BB17=0,0,IF(BB39=3,0,VALUE(CONCATENATE(Travail!BB28,Travail!BB39,Travail!BB50))))</f>
        <v>0</v>
      </c>
      <c r="BC62" s="172">
        <f>IF(BC17=0,0,IF(BC39=3,0,VALUE(CONCATENATE(Travail!BC28,Travail!BC39,Travail!BC50))))</f>
        <v>0</v>
      </c>
      <c r="BD62" s="172">
        <f>IF(BD17=0,0,IF(BD39=3,0,VALUE(CONCATENATE(Travail!BD28,Travail!BD39,Travail!BD50))))</f>
        <v>0</v>
      </c>
      <c r="BE62" s="172">
        <f>IF(BE17=0,0,IF(BE39=3,0,VALUE(CONCATENATE(Travail!BE28,Travail!BE39,Travail!BE50))))</f>
        <v>0</v>
      </c>
      <c r="BF62" s="172">
        <f>IF(BF17=0,0,IF(BF39=3,0,VALUE(CONCATENATE(Travail!BF28,Travail!BF39,Travail!BF50))))</f>
        <v>0</v>
      </c>
      <c r="BG62" s="172">
        <f>IF(BG17=0,0,IF(BG39=3,0,VALUE(CONCATENATE(Travail!BG28,Travail!BG39,Travail!BG50))))</f>
        <v>0</v>
      </c>
      <c r="BH62" s="172">
        <f>IF(BH17=0,0,IF(BH39=3,0,VALUE(CONCATENATE(Travail!BH28,Travail!BH39,Travail!BH50))))</f>
        <v>0</v>
      </c>
      <c r="BI62" s="172">
        <f>IF(BI17=0,0,IF(BI39=3,0,VALUE(CONCATENATE(Travail!BI28,Travail!BI39,Travail!BI50))))</f>
        <v>0</v>
      </c>
      <c r="BJ62" s="172">
        <f>IF(BJ17=0,0,IF(BJ39=3,0,VALUE(CONCATENATE(Travail!BJ28,Travail!BJ39,Travail!BJ50))))</f>
        <v>0</v>
      </c>
      <c r="BK62" s="172">
        <f>IF(BK17=0,0,IF(BK39=3,0,VALUE(CONCATENATE(Travail!BK28,Travail!BK39,Travail!BK50))))</f>
        <v>0</v>
      </c>
      <c r="BL62" s="172">
        <f>IF(BL17=0,0,IF(BL39=3,0,VALUE(CONCATENATE(Travail!BL28,Travail!BL39,Travail!BL50))))</f>
        <v>0</v>
      </c>
      <c r="BM62" s="172">
        <f>IF(BM17=0,0,IF(BM39=3,0,VALUE(CONCATENATE(Travail!BM28,Travail!BM39,Travail!BM50))))</f>
        <v>0</v>
      </c>
      <c r="BN62" s="172">
        <f>IF(BN17=0,0,IF(BN39=3,0,VALUE(CONCATENATE(Travail!BN28,Travail!BN39,Travail!BN50))))</f>
        <v>0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0</v>
      </c>
      <c r="CG62" s="172">
        <f>IF(CG17=0,0,IF(CG39=3,0,VALUE(CONCATENATE(Travail!CG28,Travail!CG39,Travail!CG50))))</f>
        <v>0</v>
      </c>
      <c r="CH62" s="172">
        <f>IF(CH17=0,0,IF(CH39=3,0,VALUE(CONCATENATE(Travail!CH28,Travail!CH39,Travail!CH50))))</f>
        <v>0</v>
      </c>
      <c r="CI62" s="172">
        <f>IF(CI17=0,0,IF(CI39=3,0,VALUE(CONCATENATE(Travail!CI28,Travail!CI39,Travail!CI50))))</f>
        <v>0</v>
      </c>
      <c r="CJ62" s="172">
        <f>IF(CJ17=0,0,IF(CJ39=3,0,VALUE(CONCATENATE(Travail!CJ28,Travail!CJ39,Travail!CJ50))))</f>
        <v>0</v>
      </c>
      <c r="CK62" s="172">
        <f>IF(CK17=0,0,IF(CK39=3,0,VALUE(CONCATENATE(Travail!CK28,Travail!CK39,Travail!CK50))))</f>
        <v>0</v>
      </c>
      <c r="CL62" s="172">
        <f>IF(CL17=0,0,IF(CL39=3,0,VALUE(CONCATENATE(Travail!CL28,Travail!CL39,Travail!CL50))))</f>
        <v>0</v>
      </c>
      <c r="CM62" s="172">
        <f>IF(CM17=0,0,IF(CM39=3,0,VALUE(CONCATENATE(Travail!CM28,Travail!CM39,Travail!CM50))))</f>
        <v>0</v>
      </c>
      <c r="CN62" s="172">
        <f>IF(CN17=0,0,IF(CN39=3,0,VALUE(CONCATENATE(Travail!CN28,Travail!CN39,Travail!CN50))))</f>
        <v>0</v>
      </c>
      <c r="CO62" s="172">
        <f>IF(CO17=0,0,IF(CO39=3,0,VALUE(CONCATENATE(Travail!CO28,Travail!CO39,Travail!CO50))))</f>
        <v>0</v>
      </c>
      <c r="CP62" s="172">
        <f>IF(CP17=0,0,IF(CP39=3,0,VALUE(CONCATENATE(Travail!CP28,Travail!CP39,Travail!CP50))))</f>
        <v>0</v>
      </c>
      <c r="CQ62" s="172">
        <f>IF(CQ17=0,0,IF(CQ39=3,0,VALUE(CONCATENATE(Travail!CQ28,Travail!CQ39,Travail!CQ50))))</f>
        <v>0</v>
      </c>
      <c r="CR62" s="172">
        <f>IF(CR17=0,0,IF(CR39=3,0,VALUE(CONCATENATE(Travail!CR28,Travail!CR39,Travail!CR50))))</f>
        <v>0</v>
      </c>
      <c r="CS62" s="172">
        <f>IF(CS17=0,0,IF(CS39=3,0,VALUE(CONCATENATE(Travail!CS28,Travail!CS39,Travail!CS50))))</f>
        <v>0</v>
      </c>
      <c r="CT62" s="172">
        <f>IF(CT17=0,0,IF(CT39=3,0,VALUE(CONCATENATE(Travail!CT28,Travail!CT39,Travail!CT50))))</f>
        <v>0</v>
      </c>
      <c r="CU62" s="172">
        <f>IF(CU17=0,0,IF(CU39=3,0,VALUE(CONCATENATE(Travail!CU28,Travail!CU39,Travail!CU50))))</f>
        <v>0</v>
      </c>
      <c r="CV62" s="172">
        <f>IF(CV17=0,0,IF(CV39=3,0,VALUE(CONCATENATE(Travail!CV28,Travail!CV39,Travail!CV50))))</f>
        <v>0</v>
      </c>
      <c r="CW62" s="172">
        <f>IF(CW17=0,0,IF(CW39=3,0,VALUE(CONCATENATE(Travail!CW28,Travail!CW39,Travail!CW50))))</f>
        <v>0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0</v>
      </c>
      <c r="AW63" s="172">
        <f>IF(AW18=0,0,IF(AW40=3,0,VALUE(CONCATENATE(Travail!AW29,Travail!AW40,Travail!AW51))))</f>
        <v>0</v>
      </c>
      <c r="AX63" s="172">
        <f>IF(AX18=0,0,IF(AX40=3,0,VALUE(CONCATENATE(Travail!AX29,Travail!AX40,Travail!AX51))))</f>
        <v>0</v>
      </c>
      <c r="AY63" s="172">
        <f>IF(AY18=0,0,IF(AY40=3,0,VALUE(CONCATENATE(Travail!AY29,Travail!AY40,Travail!AY51))))</f>
        <v>0</v>
      </c>
      <c r="AZ63" s="172">
        <f>IF(AZ18=0,0,IF(AZ40=3,0,VALUE(CONCATENATE(Travail!AZ29,Travail!AZ40,Travail!AZ51))))</f>
        <v>0</v>
      </c>
      <c r="BA63" s="172">
        <f>IF(BA18=0,0,IF(BA40=3,0,VALUE(CONCATENATE(Travail!BA29,Travail!BA40,Travail!BA51))))</f>
        <v>0</v>
      </c>
      <c r="BB63" s="172">
        <f>IF(BB18=0,0,IF(BB40=3,0,VALUE(CONCATENATE(Travail!BB29,Travail!BB40,Travail!BB51))))</f>
        <v>0</v>
      </c>
      <c r="BC63" s="172">
        <f>IF(BC18=0,0,IF(BC40=3,0,VALUE(CONCATENATE(Travail!BC29,Travail!BC40,Travail!BC51))))</f>
        <v>0</v>
      </c>
      <c r="BD63" s="172">
        <f>IF(BD18=0,0,IF(BD40=3,0,VALUE(CONCATENATE(Travail!BD29,Travail!BD40,Travail!BD51))))</f>
        <v>0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0</v>
      </c>
      <c r="BP63" s="172">
        <f>IF(BP18=0,0,IF(BP40=3,0,VALUE(CONCATENATE(Travail!BP29,Travail!BP40,Travail!BP51))))</f>
        <v>0</v>
      </c>
      <c r="BQ63" s="172">
        <f>IF(BQ18=0,0,IF(BQ40=3,0,VALUE(CONCATENATE(Travail!BQ29,Travail!BQ40,Travail!BQ51))))</f>
        <v>0</v>
      </c>
      <c r="BR63" s="172">
        <f>IF(BR18=0,0,IF(BR40=3,0,VALUE(CONCATENATE(Travail!BR29,Travail!BR40,Travail!BR51))))</f>
        <v>0</v>
      </c>
      <c r="BS63" s="172">
        <f>IF(BS18=0,0,IF(BS40=3,0,VALUE(CONCATENATE(Travail!BS29,Travail!BS40,Travail!BS51))))</f>
        <v>0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23</v>
      </c>
      <c r="AZ71" s="172">
        <f t="shared" si="36"/>
        <v>23</v>
      </c>
      <c r="BA71" s="172">
        <f t="shared" si="36"/>
        <v>23</v>
      </c>
      <c r="BB71" s="172">
        <f t="shared" si="36"/>
        <v>23</v>
      </c>
      <c r="BC71" s="172">
        <f t="shared" si="36"/>
        <v>23</v>
      </c>
      <c r="BD71" s="172">
        <f t="shared" si="36"/>
        <v>23</v>
      </c>
      <c r="BE71" s="172">
        <f t="shared" si="36"/>
        <v>23</v>
      </c>
      <c r="BF71" s="172">
        <f t="shared" si="36"/>
        <v>23</v>
      </c>
      <c r="BG71" s="172">
        <f t="shared" si="36"/>
        <v>23</v>
      </c>
      <c r="BH71" s="172">
        <f t="shared" si="36"/>
        <v>23</v>
      </c>
      <c r="BI71" s="172">
        <f t="shared" si="36"/>
        <v>23</v>
      </c>
      <c r="BJ71" s="172">
        <f t="shared" si="36"/>
        <v>23</v>
      </c>
      <c r="BK71" s="172">
        <f t="shared" si="36"/>
        <v>23</v>
      </c>
      <c r="BL71" s="172">
        <f t="shared" si="36"/>
        <v>23</v>
      </c>
      <c r="BM71" s="172">
        <f t="shared" si="36"/>
        <v>23</v>
      </c>
      <c r="BN71" s="172">
        <f t="shared" si="36"/>
        <v>23</v>
      </c>
      <c r="BO71" s="172">
        <f t="shared" si="36"/>
        <v>23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23</v>
      </c>
      <c r="CI71" s="172">
        <f t="shared" si="37"/>
        <v>23</v>
      </c>
      <c r="CJ71" s="172">
        <f t="shared" si="37"/>
        <v>23</v>
      </c>
      <c r="CK71" s="172">
        <f t="shared" si="37"/>
        <v>23</v>
      </c>
      <c r="CL71" s="172">
        <f t="shared" si="37"/>
        <v>23</v>
      </c>
      <c r="CM71" s="172">
        <f t="shared" si="37"/>
        <v>23</v>
      </c>
      <c r="CN71" s="172">
        <f t="shared" si="37"/>
        <v>23</v>
      </c>
      <c r="CO71" s="172">
        <f t="shared" si="37"/>
        <v>23</v>
      </c>
      <c r="CP71" s="172">
        <f t="shared" si="37"/>
        <v>23</v>
      </c>
      <c r="CQ71" s="172">
        <f t="shared" si="37"/>
        <v>23</v>
      </c>
      <c r="CR71" s="172">
        <f t="shared" si="37"/>
        <v>23</v>
      </c>
      <c r="CS71" s="172">
        <f t="shared" si="37"/>
        <v>23</v>
      </c>
      <c r="CT71" s="172">
        <f t="shared" si="37"/>
        <v>23</v>
      </c>
      <c r="CU71" s="172">
        <f t="shared" si="37"/>
        <v>23</v>
      </c>
      <c r="CV71" s="172">
        <f t="shared" si="37"/>
        <v>23</v>
      </c>
      <c r="CW71" s="172">
        <f t="shared" si="37"/>
        <v>23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23</v>
      </c>
      <c r="AW72" s="172">
        <f t="shared" si="36"/>
        <v>23</v>
      </c>
      <c r="AX72" s="172">
        <f t="shared" si="36"/>
        <v>23</v>
      </c>
      <c r="AY72" s="172">
        <f t="shared" si="36"/>
        <v>23</v>
      </c>
      <c r="AZ72" s="172">
        <f t="shared" si="36"/>
        <v>23</v>
      </c>
      <c r="BA72" s="172">
        <f t="shared" si="36"/>
        <v>23</v>
      </c>
      <c r="BB72" s="172">
        <f t="shared" si="36"/>
        <v>23</v>
      </c>
      <c r="BC72" s="172">
        <f t="shared" si="36"/>
        <v>23</v>
      </c>
      <c r="BD72" s="172">
        <f t="shared" si="36"/>
        <v>23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23</v>
      </c>
      <c r="BP72" s="172">
        <f t="shared" si="36"/>
        <v>23</v>
      </c>
      <c r="BQ72" s="172">
        <f t="shared" si="36"/>
        <v>23</v>
      </c>
      <c r="BR72" s="172">
        <f t="shared" si="36"/>
        <v>23</v>
      </c>
      <c r="BS72" s="172">
        <f t="shared" si="36"/>
        <v>23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23</v>
      </c>
      <c r="CH72" s="172">
        <f t="shared" si="37"/>
        <v>23</v>
      </c>
      <c r="CI72" s="172">
        <f t="shared" si="37"/>
        <v>23</v>
      </c>
      <c r="CJ72" s="172">
        <f t="shared" si="37"/>
        <v>23</v>
      </c>
      <c r="CK72" s="172">
        <f t="shared" si="37"/>
        <v>23</v>
      </c>
      <c r="CL72" s="172">
        <f t="shared" si="37"/>
        <v>23</v>
      </c>
      <c r="CM72" s="172">
        <f t="shared" si="37"/>
        <v>23</v>
      </c>
      <c r="CN72" s="172">
        <f t="shared" si="37"/>
        <v>23</v>
      </c>
      <c r="CO72" s="172">
        <f t="shared" si="37"/>
        <v>23</v>
      </c>
      <c r="CP72" s="172">
        <f t="shared" si="37"/>
        <v>23</v>
      </c>
      <c r="CQ72" s="172">
        <f t="shared" si="37"/>
        <v>23</v>
      </c>
      <c r="CR72" s="172">
        <f t="shared" si="37"/>
        <v>23</v>
      </c>
      <c r="CS72" s="172">
        <f t="shared" si="37"/>
        <v>23</v>
      </c>
      <c r="CT72" s="172">
        <f t="shared" si="37"/>
        <v>23</v>
      </c>
      <c r="CU72" s="172">
        <f t="shared" si="37"/>
        <v>23</v>
      </c>
      <c r="CV72" s="172">
        <f t="shared" si="37"/>
        <v>23</v>
      </c>
      <c r="CW72" s="172">
        <f t="shared" si="37"/>
        <v>23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23</v>
      </c>
      <c r="BB73" s="172">
        <f t="shared" si="36"/>
        <v>23</v>
      </c>
      <c r="BC73" s="172">
        <f t="shared" si="36"/>
        <v>23</v>
      </c>
      <c r="BD73" s="172">
        <f t="shared" si="36"/>
        <v>23</v>
      </c>
      <c r="BE73" s="172">
        <f t="shared" si="36"/>
        <v>23</v>
      </c>
      <c r="BF73" s="172">
        <f t="shared" si="36"/>
        <v>23</v>
      </c>
      <c r="BG73" s="172">
        <f t="shared" si="36"/>
        <v>23</v>
      </c>
      <c r="BH73" s="172">
        <f t="shared" si="36"/>
        <v>23</v>
      </c>
      <c r="BI73" s="172">
        <f t="shared" si="36"/>
        <v>23</v>
      </c>
      <c r="BJ73" s="172">
        <f t="shared" si="36"/>
        <v>23</v>
      </c>
      <c r="BK73" s="172">
        <f t="shared" si="36"/>
        <v>23</v>
      </c>
      <c r="BL73" s="172">
        <f t="shared" si="36"/>
        <v>23</v>
      </c>
      <c r="BM73" s="172">
        <f t="shared" si="36"/>
        <v>23</v>
      </c>
      <c r="BN73" s="172">
        <f t="shared" si="36"/>
        <v>23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13</v>
      </c>
      <c r="CG73" s="172">
        <f t="shared" si="37"/>
        <v>13</v>
      </c>
      <c r="CH73" s="172">
        <f t="shared" si="37"/>
        <v>13</v>
      </c>
      <c r="CI73" s="172">
        <f t="shared" si="37"/>
        <v>13</v>
      </c>
      <c r="CJ73" s="172">
        <f t="shared" si="37"/>
        <v>13</v>
      </c>
      <c r="CK73" s="172">
        <f t="shared" si="37"/>
        <v>13</v>
      </c>
      <c r="CL73" s="172">
        <f t="shared" si="37"/>
        <v>13</v>
      </c>
      <c r="CM73" s="172">
        <f t="shared" si="37"/>
        <v>13</v>
      </c>
      <c r="CN73" s="172">
        <f t="shared" si="37"/>
        <v>13</v>
      </c>
      <c r="CO73" s="172">
        <f t="shared" si="37"/>
        <v>13</v>
      </c>
      <c r="CP73" s="172">
        <f t="shared" si="37"/>
        <v>13</v>
      </c>
      <c r="CQ73" s="172">
        <f t="shared" si="37"/>
        <v>13</v>
      </c>
      <c r="CR73" s="172">
        <f t="shared" si="37"/>
        <v>13</v>
      </c>
      <c r="CS73" s="172">
        <f t="shared" si="37"/>
        <v>13</v>
      </c>
      <c r="CT73" s="172">
        <f t="shared" si="37"/>
        <v>13</v>
      </c>
      <c r="CU73" s="172">
        <f t="shared" si="37"/>
        <v>13</v>
      </c>
      <c r="CV73" s="172">
        <f t="shared" si="37"/>
        <v>13</v>
      </c>
      <c r="CW73" s="172">
        <f t="shared" si="37"/>
        <v>13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23</v>
      </c>
      <c r="AW74" s="172">
        <f t="shared" si="36"/>
        <v>23</v>
      </c>
      <c r="AX74" s="172">
        <f t="shared" si="36"/>
        <v>23</v>
      </c>
      <c r="AY74" s="172">
        <f t="shared" si="36"/>
        <v>23</v>
      </c>
      <c r="AZ74" s="172">
        <f t="shared" si="36"/>
        <v>23</v>
      </c>
      <c r="BA74" s="172">
        <f t="shared" si="36"/>
        <v>23</v>
      </c>
      <c r="BB74" s="172">
        <f t="shared" si="36"/>
        <v>23</v>
      </c>
      <c r="BC74" s="172">
        <f t="shared" si="36"/>
        <v>23</v>
      </c>
      <c r="BD74" s="172">
        <f t="shared" si="36"/>
        <v>23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23</v>
      </c>
      <c r="BP74" s="172">
        <f t="shared" si="36"/>
        <v>23</v>
      </c>
      <c r="BQ74" s="172">
        <f t="shared" si="36"/>
        <v>23</v>
      </c>
      <c r="BR74" s="172">
        <f t="shared" si="36"/>
        <v>23</v>
      </c>
      <c r="BS74" s="172">
        <f t="shared" si="36"/>
        <v>23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84</v>
      </c>
      <c r="G75" s="197">
        <f>IF(Protection!C195=0,0,[1]Protect!$B$9*Protection!C195*14)</f>
        <v>3.5</v>
      </c>
      <c r="H75" s="197">
        <f>IF(Protection!D195=0,0,[1]Protect!$B$9*Protection!D195*14)</f>
        <v>3.5</v>
      </c>
      <c r="I75" s="197">
        <f>IF(Protection!E195=0,0,[1]Protect!$B$9*Protection!E195*14)</f>
        <v>3.5</v>
      </c>
      <c r="J75" s="197">
        <f>IF(Protection!F195=0,0,[1]Protect!$B$9*Protection!F195*14)</f>
        <v>3.5</v>
      </c>
      <c r="K75" s="197">
        <f>IF(Protection!G195=0,0,[1]Protect!$B$9*Protection!G195*14)</f>
        <v>3.5</v>
      </c>
      <c r="L75" s="197">
        <f>IF(Protection!H195=0,0,[1]Protect!$B$9*Protection!H195*14)</f>
        <v>3.5</v>
      </c>
      <c r="M75" s="197">
        <f>IF(Protection!I195=0,0,[1]Protect!$B$9*Protection!I195*14)</f>
        <v>3.5</v>
      </c>
      <c r="N75" s="197">
        <f>IF(Protection!J195=0,0,[1]Protect!$B$9*Protection!J195*14)</f>
        <v>3.5</v>
      </c>
      <c r="O75" s="197">
        <f>IF(Protection!K195=0,0,[1]Protect!$B$9*Protection!K195*14)</f>
        <v>3.5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3.5</v>
      </c>
      <c r="AA75" s="197">
        <f>IF(Protection!W195=0,0,[1]Protect!$B$9*Protection!W195*14)</f>
        <v>3.5</v>
      </c>
      <c r="AB75" s="197">
        <f>IF(Protection!X195=0,0,[1]Protect!$B$9*Protection!X195*14)</f>
        <v>3.5</v>
      </c>
      <c r="AC75" s="197">
        <f>IF(Protection!Y195=0,0,[1]Protect!$B$9*Protection!Y195*14)</f>
        <v>3.5</v>
      </c>
      <c r="AD75" s="197">
        <f>IF(Protection!Z195=0,0,[1]Protect!$B$9*Protection!Z195*14)</f>
        <v>3.5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0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0</v>
      </c>
      <c r="S76" s="197">
        <f>IF(Protection!O196=0,0,[1]Protect!$B$9*Protection!O196*14)</f>
        <v>0</v>
      </c>
      <c r="T76" s="197">
        <f>IF(Protection!P196=0,0,[1]Protect!$B$9*Protection!P196*14)</f>
        <v>0</v>
      </c>
      <c r="U76" s="197">
        <f>IF(Protection!Q196=0,0,[1]Protect!$B$9*Protection!Q196*14)</f>
        <v>0</v>
      </c>
      <c r="V76" s="197">
        <f>IF(Protection!R196=0,0,[1]Protect!$B$9*Protection!R196*14)</f>
        <v>0</v>
      </c>
      <c r="W76" s="197">
        <f>IF(Protection!S196=0,0,[1]Protect!$B$9*Protection!S196*14)</f>
        <v>0</v>
      </c>
      <c r="X76" s="197">
        <f>IF(Protection!T196=0,0,[1]Protect!$B$9*Protection!T196*14)</f>
        <v>0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84</v>
      </c>
      <c r="G77" s="45">
        <f t="shared" ref="G77:AD77" si="43">+SUM(G69:G76)</f>
        <v>3.5</v>
      </c>
      <c r="H77" s="45">
        <f t="shared" si="43"/>
        <v>3.5</v>
      </c>
      <c r="I77" s="45">
        <f t="shared" si="43"/>
        <v>3.5</v>
      </c>
      <c r="J77" s="45">
        <f t="shared" si="43"/>
        <v>3.5</v>
      </c>
      <c r="K77" s="45">
        <f t="shared" si="43"/>
        <v>3.5</v>
      </c>
      <c r="L77" s="45">
        <f t="shared" si="43"/>
        <v>3.5</v>
      </c>
      <c r="M77" s="45">
        <f t="shared" si="43"/>
        <v>3.5</v>
      </c>
      <c r="N77" s="45">
        <f t="shared" si="43"/>
        <v>3.5</v>
      </c>
      <c r="O77" s="45">
        <f t="shared" si="43"/>
        <v>3.5</v>
      </c>
      <c r="P77" s="45">
        <f t="shared" si="43"/>
        <v>3.5</v>
      </c>
      <c r="Q77" s="45">
        <f t="shared" si="43"/>
        <v>3.5</v>
      </c>
      <c r="R77" s="45">
        <f t="shared" si="43"/>
        <v>3.5</v>
      </c>
      <c r="S77" s="45">
        <f t="shared" si="43"/>
        <v>3.5</v>
      </c>
      <c r="T77" s="45">
        <f t="shared" si="43"/>
        <v>3.5</v>
      </c>
      <c r="U77" s="45">
        <f t="shared" si="43"/>
        <v>3.5</v>
      </c>
      <c r="V77" s="45">
        <f t="shared" si="43"/>
        <v>3.5</v>
      </c>
      <c r="W77" s="45">
        <f t="shared" si="43"/>
        <v>3.5</v>
      </c>
      <c r="X77" s="45">
        <f t="shared" si="43"/>
        <v>3.5</v>
      </c>
      <c r="Y77" s="45">
        <f t="shared" si="43"/>
        <v>3.5</v>
      </c>
      <c r="Z77" s="45">
        <f t="shared" si="43"/>
        <v>3.5</v>
      </c>
      <c r="AA77" s="45">
        <f t="shared" si="43"/>
        <v>3.5</v>
      </c>
      <c r="AB77" s="45">
        <f t="shared" si="43"/>
        <v>3.5</v>
      </c>
      <c r="AC77" s="45">
        <f t="shared" si="43"/>
        <v>3.5</v>
      </c>
      <c r="AD77" s="45">
        <f t="shared" si="43"/>
        <v>3.5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0.28999999999999998</v>
      </c>
      <c r="C81" s="189">
        <f>[1]Protect!$B$10</f>
        <v>4</v>
      </c>
      <c r="D81" s="171"/>
      <c r="E81" s="171"/>
      <c r="F81" s="172">
        <f>ROUND(C81*B81*8,0)</f>
        <v>9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4</v>
      </c>
      <c r="AW81" s="172">
        <f t="shared" ref="AW81:BS81" si="44">COUNTIF(AW$71:AW$80,23)</f>
        <v>4</v>
      </c>
      <c r="AX81" s="172">
        <f t="shared" si="44"/>
        <v>4</v>
      </c>
      <c r="AY81" s="172">
        <f t="shared" si="44"/>
        <v>4</v>
      </c>
      <c r="AZ81" s="172">
        <f t="shared" si="44"/>
        <v>4</v>
      </c>
      <c r="BA81" s="172">
        <f t="shared" si="44"/>
        <v>4</v>
      </c>
      <c r="BB81" s="172">
        <f t="shared" si="44"/>
        <v>4</v>
      </c>
      <c r="BC81" s="172">
        <f t="shared" si="44"/>
        <v>4</v>
      </c>
      <c r="BD81" s="172">
        <f t="shared" si="44"/>
        <v>4</v>
      </c>
      <c r="BE81" s="172">
        <f t="shared" si="44"/>
        <v>2</v>
      </c>
      <c r="BF81" s="172">
        <f t="shared" si="44"/>
        <v>2</v>
      </c>
      <c r="BG81" s="172">
        <f t="shared" si="44"/>
        <v>2</v>
      </c>
      <c r="BH81" s="172">
        <f t="shared" si="44"/>
        <v>2</v>
      </c>
      <c r="BI81" s="172">
        <f t="shared" si="44"/>
        <v>2</v>
      </c>
      <c r="BJ81" s="172">
        <f t="shared" si="44"/>
        <v>2</v>
      </c>
      <c r="BK81" s="172">
        <f t="shared" si="44"/>
        <v>2</v>
      </c>
      <c r="BL81" s="172">
        <f t="shared" si="44"/>
        <v>2</v>
      </c>
      <c r="BM81" s="172">
        <f t="shared" si="44"/>
        <v>2</v>
      </c>
      <c r="BN81" s="172">
        <f t="shared" si="44"/>
        <v>2</v>
      </c>
      <c r="BO81" s="172">
        <f t="shared" si="44"/>
        <v>3</v>
      </c>
      <c r="BP81" s="172">
        <f t="shared" si="44"/>
        <v>3</v>
      </c>
      <c r="BQ81" s="172">
        <f t="shared" si="44"/>
        <v>4</v>
      </c>
      <c r="BR81" s="172">
        <f t="shared" si="44"/>
        <v>4</v>
      </c>
      <c r="BS81" s="172">
        <f t="shared" si="44"/>
        <v>4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2</v>
      </c>
      <c r="CH81" s="172">
        <f t="shared" si="45"/>
        <v>2</v>
      </c>
      <c r="CI81" s="172">
        <f t="shared" si="45"/>
        <v>2</v>
      </c>
      <c r="CJ81" s="172">
        <f t="shared" si="45"/>
        <v>2</v>
      </c>
      <c r="CK81" s="172">
        <f t="shared" si="45"/>
        <v>2</v>
      </c>
      <c r="CL81" s="172">
        <f t="shared" si="45"/>
        <v>2</v>
      </c>
      <c r="CM81" s="172">
        <f t="shared" si="45"/>
        <v>2</v>
      </c>
      <c r="CN81" s="172">
        <f t="shared" si="45"/>
        <v>2</v>
      </c>
      <c r="CO81" s="172">
        <f t="shared" si="45"/>
        <v>2</v>
      </c>
      <c r="CP81" s="172">
        <f t="shared" si="45"/>
        <v>2</v>
      </c>
      <c r="CQ81" s="172">
        <f t="shared" si="45"/>
        <v>2</v>
      </c>
      <c r="CR81" s="172">
        <f t="shared" si="45"/>
        <v>2</v>
      </c>
      <c r="CS81" s="172">
        <f t="shared" si="45"/>
        <v>2</v>
      </c>
      <c r="CT81" s="172">
        <f t="shared" si="45"/>
        <v>2</v>
      </c>
      <c r="CU81" s="172">
        <f t="shared" si="45"/>
        <v>2</v>
      </c>
      <c r="CV81" s="172">
        <f t="shared" si="45"/>
        <v>2</v>
      </c>
      <c r="CW81" s="172">
        <f t="shared" si="45"/>
        <v>2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1</v>
      </c>
      <c r="CG82" s="172">
        <f t="shared" si="48"/>
        <v>1</v>
      </c>
      <c r="CH82" s="172">
        <f t="shared" si="48"/>
        <v>1</v>
      </c>
      <c r="CI82" s="172">
        <f t="shared" si="48"/>
        <v>1</v>
      </c>
      <c r="CJ82" s="172">
        <f t="shared" si="48"/>
        <v>1</v>
      </c>
      <c r="CK82" s="172">
        <f t="shared" si="48"/>
        <v>1</v>
      </c>
      <c r="CL82" s="172">
        <f t="shared" si="48"/>
        <v>1</v>
      </c>
      <c r="CM82" s="172">
        <f t="shared" si="48"/>
        <v>1</v>
      </c>
      <c r="CN82" s="172">
        <f t="shared" si="48"/>
        <v>1</v>
      </c>
      <c r="CO82" s="172">
        <f t="shared" si="48"/>
        <v>1</v>
      </c>
      <c r="CP82" s="172">
        <f t="shared" si="48"/>
        <v>1</v>
      </c>
      <c r="CQ82" s="172">
        <f t="shared" si="48"/>
        <v>1</v>
      </c>
      <c r="CR82" s="172">
        <f t="shared" si="48"/>
        <v>1</v>
      </c>
      <c r="CS82" s="172">
        <f t="shared" si="48"/>
        <v>1</v>
      </c>
      <c r="CT82" s="172">
        <f t="shared" si="48"/>
        <v>1</v>
      </c>
      <c r="CU82" s="172">
        <f t="shared" si="48"/>
        <v>1</v>
      </c>
      <c r="CV82" s="172">
        <f t="shared" si="48"/>
        <v>1</v>
      </c>
      <c r="CW82" s="172">
        <f t="shared" si="48"/>
        <v>1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0</v>
      </c>
      <c r="C83" s="189">
        <f>[1]Protect!$B$24+[1]Protect!$B$26</f>
        <v>0.33</v>
      </c>
      <c r="D83" s="171"/>
      <c r="E83" s="171"/>
      <c r="F83" s="172">
        <f>ROUND(B83*C83,1)</f>
        <v>0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0</v>
      </c>
      <c r="AW83" s="172">
        <f t="shared" ref="AW83:BS83" si="50">COUNTIF(AW$71:AW$80,22)</f>
        <v>0</v>
      </c>
      <c r="AX83" s="172">
        <f t="shared" si="50"/>
        <v>0</v>
      </c>
      <c r="AY83" s="172">
        <f t="shared" si="50"/>
        <v>0</v>
      </c>
      <c r="AZ83" s="172">
        <f t="shared" si="50"/>
        <v>0</v>
      </c>
      <c r="BA83" s="172">
        <f t="shared" si="50"/>
        <v>0</v>
      </c>
      <c r="BB83" s="172">
        <f t="shared" si="50"/>
        <v>0</v>
      </c>
      <c r="BC83" s="172">
        <f t="shared" si="50"/>
        <v>0</v>
      </c>
      <c r="BD83" s="172">
        <f t="shared" si="50"/>
        <v>0</v>
      </c>
      <c r="BE83" s="172">
        <f t="shared" si="50"/>
        <v>0</v>
      </c>
      <c r="BF83" s="172">
        <f t="shared" si="50"/>
        <v>0</v>
      </c>
      <c r="BG83" s="172">
        <f t="shared" si="50"/>
        <v>0</v>
      </c>
      <c r="BH83" s="172">
        <f t="shared" si="50"/>
        <v>0</v>
      </c>
      <c r="BI83" s="172">
        <f t="shared" si="50"/>
        <v>0</v>
      </c>
      <c r="BJ83" s="172">
        <f t="shared" si="50"/>
        <v>0</v>
      </c>
      <c r="BK83" s="172">
        <f t="shared" si="50"/>
        <v>0</v>
      </c>
      <c r="BL83" s="172">
        <f t="shared" si="50"/>
        <v>0</v>
      </c>
      <c r="BM83" s="172">
        <f t="shared" si="50"/>
        <v>0</v>
      </c>
      <c r="BN83" s="172">
        <f t="shared" si="50"/>
        <v>0</v>
      </c>
      <c r="BO83" s="172">
        <f t="shared" si="50"/>
        <v>0</v>
      </c>
      <c r="BP83" s="172">
        <f t="shared" si="50"/>
        <v>0</v>
      </c>
      <c r="BQ83" s="172">
        <f t="shared" si="50"/>
        <v>0</v>
      </c>
      <c r="BR83" s="172">
        <f t="shared" si="50"/>
        <v>0</v>
      </c>
      <c r="BS83" s="172">
        <f t="shared" si="50"/>
        <v>0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0</v>
      </c>
      <c r="CH83" s="172">
        <f t="shared" si="51"/>
        <v>0</v>
      </c>
      <c r="CI83" s="172">
        <f t="shared" si="51"/>
        <v>0</v>
      </c>
      <c r="CJ83" s="172">
        <f t="shared" si="51"/>
        <v>0</v>
      </c>
      <c r="CK83" s="172">
        <f t="shared" si="51"/>
        <v>0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0</v>
      </c>
      <c r="CU83" s="172">
        <f t="shared" si="51"/>
        <v>0</v>
      </c>
      <c r="CV83" s="172">
        <f t="shared" si="51"/>
        <v>0</v>
      </c>
      <c r="CW83" s="172">
        <f t="shared" si="51"/>
        <v>0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0</v>
      </c>
      <c r="CG84" s="172">
        <f t="shared" si="54"/>
        <v>0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23</v>
      </c>
      <c r="BB85" s="61">
        <f t="shared" si="56"/>
        <v>23</v>
      </c>
      <c r="BC85" s="61">
        <f t="shared" si="56"/>
        <v>23</v>
      </c>
      <c r="BD85" s="61">
        <f t="shared" si="56"/>
        <v>23</v>
      </c>
      <c r="BE85" s="61">
        <f t="shared" si="56"/>
        <v>23</v>
      </c>
      <c r="BF85" s="61">
        <f t="shared" si="56"/>
        <v>23</v>
      </c>
      <c r="BG85" s="61">
        <f t="shared" si="56"/>
        <v>23</v>
      </c>
      <c r="BH85" s="61">
        <f t="shared" si="56"/>
        <v>23</v>
      </c>
      <c r="BI85" s="61">
        <f t="shared" si="56"/>
        <v>23</v>
      </c>
      <c r="BJ85" s="61">
        <f t="shared" si="56"/>
        <v>23</v>
      </c>
      <c r="BK85" s="61">
        <f t="shared" si="56"/>
        <v>23</v>
      </c>
      <c r="BL85" s="61">
        <f t="shared" si="56"/>
        <v>23</v>
      </c>
      <c r="BM85" s="61">
        <f t="shared" si="56"/>
        <v>23</v>
      </c>
      <c r="BN85" s="61">
        <f t="shared" si="56"/>
        <v>23</v>
      </c>
      <c r="BO85" s="61">
        <f t="shared" si="56"/>
        <v>23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23</v>
      </c>
      <c r="CI85" s="61">
        <f t="shared" si="57"/>
        <v>23</v>
      </c>
      <c r="CJ85" s="61">
        <f t="shared" si="57"/>
        <v>23</v>
      </c>
      <c r="CK85" s="61">
        <f t="shared" si="57"/>
        <v>23</v>
      </c>
      <c r="CL85" s="61">
        <f t="shared" si="57"/>
        <v>23</v>
      </c>
      <c r="CM85" s="61">
        <f t="shared" si="57"/>
        <v>23</v>
      </c>
      <c r="CN85" s="61">
        <f t="shared" si="57"/>
        <v>23</v>
      </c>
      <c r="CO85" s="61">
        <f t="shared" si="57"/>
        <v>23</v>
      </c>
      <c r="CP85" s="61">
        <f t="shared" si="57"/>
        <v>23</v>
      </c>
      <c r="CQ85" s="61">
        <f t="shared" si="57"/>
        <v>23</v>
      </c>
      <c r="CR85" s="61">
        <f t="shared" si="57"/>
        <v>23</v>
      </c>
      <c r="CS85" s="61">
        <f t="shared" si="57"/>
        <v>23</v>
      </c>
      <c r="CT85" s="61">
        <f t="shared" si="57"/>
        <v>23</v>
      </c>
      <c r="CU85" s="61">
        <f t="shared" si="57"/>
        <v>23</v>
      </c>
      <c r="CV85" s="61">
        <f t="shared" si="57"/>
        <v>23</v>
      </c>
      <c r="CW85" s="61">
        <f t="shared" si="57"/>
        <v>23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</v>
      </c>
      <c r="C86" s="175"/>
      <c r="D86" s="175"/>
      <c r="E86" s="175"/>
      <c r="F86" s="172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42</v>
      </c>
      <c r="BB86" s="189">
        <f>IF(BB85=0,0,HLOOKUP(BB85,[1]Trav!$C$39:$G$59,$AU$105))</f>
        <v>42</v>
      </c>
      <c r="BC86" s="189">
        <f>IF(BC85=0,0,HLOOKUP(BC85,[1]Trav!$C$39:$G$59,$AU$105))</f>
        <v>42</v>
      </c>
      <c r="BD86" s="189">
        <f>IF(BD85=0,0,HLOOKUP(BD85,[1]Trav!$C$39:$G$59,$AU$105))</f>
        <v>42</v>
      </c>
      <c r="BE86" s="189">
        <f>IF(BE85=0,0,HLOOKUP(BE85,[1]Trav!$C$39:$G$59,$AU$105))</f>
        <v>42</v>
      </c>
      <c r="BF86" s="189">
        <f>IF(BF85=0,0,HLOOKUP(BF85,[1]Trav!$C$39:$G$59,$AU$105))</f>
        <v>42</v>
      </c>
      <c r="BG86" s="189">
        <f>IF(BG85=0,0,HLOOKUP(BG85,[1]Trav!$C$39:$G$59,$AU$105))</f>
        <v>42</v>
      </c>
      <c r="BH86" s="189">
        <f>IF(BH85=0,0,HLOOKUP(BH85,[1]Trav!$C$39:$G$59,$AU$105))</f>
        <v>42</v>
      </c>
      <c r="BI86" s="189">
        <f>IF(BI85=0,0,HLOOKUP(BI85,[1]Trav!$C$39:$G$59,$AU$105))</f>
        <v>42</v>
      </c>
      <c r="BJ86" s="189">
        <f>IF(BJ85=0,0,HLOOKUP(BJ85,[1]Trav!$C$39:$G$59,$AU$105))</f>
        <v>42</v>
      </c>
      <c r="BK86" s="189">
        <f>IF(BK85=0,0,HLOOKUP(BK85,[1]Trav!$C$39:$G$59,$AU$105))</f>
        <v>42</v>
      </c>
      <c r="BL86" s="189">
        <f>IF(BL85=0,0,HLOOKUP(BL85,[1]Trav!$C$39:$G$59,$AU$105))</f>
        <v>42</v>
      </c>
      <c r="BM86" s="189">
        <f>IF(BM85=0,0,HLOOKUP(BM85,[1]Trav!$C$39:$G$59,$AU$105))</f>
        <v>42</v>
      </c>
      <c r="BN86" s="189">
        <f>IF(BN85=0,0,HLOOKUP(BN85,[1]Trav!$C$39:$G$59,$AU$105))</f>
        <v>42</v>
      </c>
      <c r="BO86" s="189">
        <f>IF(BO85=0,0,HLOOKUP(BO85,[1]Trav!$C$39:$G$59,$AU$105))</f>
        <v>42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42</v>
      </c>
      <c r="CI86" s="189">
        <f>IF(CI85=0,0,HLOOKUP(CI85,[1]Trav!$C$39:$G$59,$AU$105))</f>
        <v>42</v>
      </c>
      <c r="CJ86" s="189">
        <f>IF(CJ85=0,0,HLOOKUP(CJ85,[1]Trav!$C$39:$G$59,$AU$105))</f>
        <v>42</v>
      </c>
      <c r="CK86" s="189">
        <f>IF(CK85=0,0,HLOOKUP(CK85,[1]Trav!$C$39:$G$59,$AU$105))</f>
        <v>42</v>
      </c>
      <c r="CL86" s="189">
        <f>IF(CL85=0,0,HLOOKUP(CL85,[1]Trav!$C$39:$G$59,$AU$105))</f>
        <v>42</v>
      </c>
      <c r="CM86" s="189">
        <f>IF(CM85=0,0,HLOOKUP(CM85,[1]Trav!$C$39:$G$59,$AU$105))</f>
        <v>42</v>
      </c>
      <c r="CN86" s="189">
        <f>IF(CN85=0,0,HLOOKUP(CN85,[1]Trav!$C$39:$G$59,$AU$105))</f>
        <v>42</v>
      </c>
      <c r="CO86" s="189">
        <f>IF(CO85=0,0,HLOOKUP(CO85,[1]Trav!$C$39:$G$59,$AU$105))</f>
        <v>42</v>
      </c>
      <c r="CP86" s="189">
        <f>IF(CP85=0,0,HLOOKUP(CP85,[1]Trav!$C$39:$G$59,$AU$105))</f>
        <v>42</v>
      </c>
      <c r="CQ86" s="189">
        <f>IF(CQ85=0,0,HLOOKUP(CQ85,[1]Trav!$C$39:$G$59,$AU$105))</f>
        <v>42</v>
      </c>
      <c r="CR86" s="189">
        <f>IF(CR85=0,0,HLOOKUP(CR85,[1]Trav!$C$39:$G$59,$AU$105))</f>
        <v>42</v>
      </c>
      <c r="CS86" s="189">
        <f>IF(CS85=0,0,HLOOKUP(CS85,[1]Trav!$C$39:$G$59,$AU$105))</f>
        <v>42</v>
      </c>
      <c r="CT86" s="189">
        <f>IF(CT85=0,0,HLOOKUP(CT85,[1]Trav!$C$39:$G$59,$AU$105))</f>
        <v>42</v>
      </c>
      <c r="CU86" s="189">
        <f>IF(CU85=0,0,HLOOKUP(CU85,[1]Trav!$C$39:$G$59,$AU$105))</f>
        <v>42</v>
      </c>
      <c r="CV86" s="189">
        <f>IF(CV85=0,0,HLOOKUP(CV85,[1]Trav!$C$39:$G$59,$AU$105))</f>
        <v>42</v>
      </c>
      <c r="CW86" s="189">
        <f>IF(CW85=0,0,HLOOKUP(CW85,[1]Trav!$C$39:$G$59,$AU$105))</f>
        <v>42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1.75</v>
      </c>
      <c r="CM87" s="189">
        <f>IF(CM85=0,0,HLOOKUP(CM85,[1]Trav!$C$62:$G$82,$AU$105))</f>
        <v>1.75</v>
      </c>
      <c r="CN87" s="189">
        <f>IF(CN85=0,0,HLOOKUP(CN85,[1]Trav!$C$62:$G$82,$AU$105))</f>
        <v>1.75</v>
      </c>
      <c r="CO87" s="189">
        <f>IF(CO85=0,0,HLOOKUP(CO85,[1]Trav!$C$62:$G$82,$AU$105))</f>
        <v>1.75</v>
      </c>
      <c r="CP87" s="189">
        <f>IF(CP85=0,0,HLOOKUP(CP85,[1]Trav!$C$62:$G$82,$AU$105))</f>
        <v>1.75</v>
      </c>
      <c r="CQ87" s="189">
        <f>IF(CQ85=0,0,HLOOKUP(CQ85,[1]Trav!$C$62:$G$82,$AU$105))</f>
        <v>1.75</v>
      </c>
      <c r="CR87" s="189">
        <f>IF(CR85=0,0,HLOOKUP(CR85,[1]Trav!$C$62:$G$82,$AU$105))</f>
        <v>1.75</v>
      </c>
      <c r="CS87" s="189">
        <f>IF(CS85=0,0,HLOOKUP(CS85,[1]Trav!$C$62:$G$82,$AU$105))</f>
        <v>1.75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255.09565217391304</v>
      </c>
      <c r="BH90" s="172">
        <f t="shared" si="60"/>
        <v>255.09565217391304</v>
      </c>
      <c r="BI90" s="172">
        <f t="shared" si="60"/>
        <v>255.09565217391304</v>
      </c>
      <c r="BJ90" s="172">
        <f t="shared" si="60"/>
        <v>255.09565217391304</v>
      </c>
      <c r="BK90" s="172">
        <f t="shared" si="60"/>
        <v>255.09565217391304</v>
      </c>
      <c r="BL90" s="172">
        <f t="shared" si="60"/>
        <v>255.09565217391304</v>
      </c>
      <c r="BM90" s="172">
        <f t="shared" si="60"/>
        <v>255.09565217391304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17.48</v>
      </c>
      <c r="CM90" s="172">
        <f t="shared" si="62"/>
        <v>17.48</v>
      </c>
      <c r="CN90" s="172">
        <f t="shared" si="62"/>
        <v>17.48</v>
      </c>
      <c r="CO90" s="172">
        <f t="shared" si="62"/>
        <v>17.48</v>
      </c>
      <c r="CP90" s="172">
        <f t="shared" si="62"/>
        <v>17.48</v>
      </c>
      <c r="CQ90" s="172">
        <f t="shared" si="62"/>
        <v>17.48</v>
      </c>
      <c r="CR90" s="172">
        <f t="shared" si="62"/>
        <v>16.559999999999999</v>
      </c>
      <c r="CS90" s="172">
        <f t="shared" si="62"/>
        <v>16.559999999999999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1252.5398260869563</v>
      </c>
      <c r="C91" s="5"/>
      <c r="D91" s="201">
        <f>B91/Troupeau!$B$17</f>
        <v>4.1201967963386723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25.11304347826087</v>
      </c>
      <c r="AW91" s="172">
        <f t="shared" si="60"/>
        <v>25.11304347826087</v>
      </c>
      <c r="AX91" s="172">
        <f t="shared" si="60"/>
        <v>25.11304347826087</v>
      </c>
      <c r="AY91" s="172">
        <f t="shared" si="60"/>
        <v>25.11304347826087</v>
      </c>
      <c r="AZ91" s="172">
        <f t="shared" si="60"/>
        <v>25.11304347826087</v>
      </c>
      <c r="BA91" s="172">
        <f t="shared" si="60"/>
        <v>25.11304347826087</v>
      </c>
      <c r="BB91" s="172">
        <f t="shared" si="60"/>
        <v>25.11304347826087</v>
      </c>
      <c r="BC91" s="172">
        <f t="shared" si="60"/>
        <v>25.11304347826087</v>
      </c>
      <c r="BD91" s="172">
        <f t="shared" si="60"/>
        <v>25.11304347826087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25.11304347826087</v>
      </c>
      <c r="BP91" s="172">
        <f t="shared" si="60"/>
        <v>25.11304347826087</v>
      </c>
      <c r="BQ91" s="172">
        <f t="shared" si="60"/>
        <v>25.11304347826087</v>
      </c>
      <c r="BR91" s="172">
        <f t="shared" si="60"/>
        <v>25.11304347826087</v>
      </c>
      <c r="BS91" s="172">
        <f t="shared" si="60"/>
        <v>25.11304347826087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5.52</v>
      </c>
      <c r="CM91" s="172">
        <f t="shared" si="62"/>
        <v>5.52</v>
      </c>
      <c r="CN91" s="172">
        <f t="shared" si="62"/>
        <v>5.52</v>
      </c>
      <c r="CO91" s="172">
        <f t="shared" si="62"/>
        <v>5.52</v>
      </c>
      <c r="CP91" s="172">
        <f t="shared" si="62"/>
        <v>5.52</v>
      </c>
      <c r="CQ91" s="172">
        <f t="shared" si="62"/>
        <v>5.52</v>
      </c>
      <c r="CR91" s="172">
        <f t="shared" si="62"/>
        <v>5.52</v>
      </c>
      <c r="CS91" s="172">
        <f t="shared" si="62"/>
        <v>5.52</v>
      </c>
      <c r="CT91" s="172">
        <f t="shared" si="62"/>
        <v>4.5999999999999996</v>
      </c>
      <c r="CU91" s="172">
        <f t="shared" si="62"/>
        <v>4.5999999999999996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1008</v>
      </c>
      <c r="C92" s="5"/>
      <c r="D92" s="201">
        <f>IF(B92=0,0,B92/Troupeau!$C$17)</f>
        <v>43.826086956521742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11.04</v>
      </c>
      <c r="CI92" s="172">
        <f t="shared" si="62"/>
        <v>11.04</v>
      </c>
      <c r="CJ92" s="172">
        <f t="shared" si="62"/>
        <v>11.04</v>
      </c>
      <c r="CK92" s="172">
        <f t="shared" si="62"/>
        <v>11.04</v>
      </c>
      <c r="CL92" s="172">
        <f t="shared" si="62"/>
        <v>11.04</v>
      </c>
      <c r="CM92" s="172">
        <f t="shared" si="62"/>
        <v>11.04</v>
      </c>
      <c r="CN92" s="172">
        <f t="shared" si="62"/>
        <v>11.04</v>
      </c>
      <c r="CO92" s="172">
        <f t="shared" si="62"/>
        <v>11.04</v>
      </c>
      <c r="CP92" s="172">
        <f t="shared" si="62"/>
        <v>11.04</v>
      </c>
      <c r="CQ92" s="172">
        <f t="shared" si="62"/>
        <v>11.04</v>
      </c>
      <c r="CR92" s="172">
        <f t="shared" si="62"/>
        <v>11.04</v>
      </c>
      <c r="CS92" s="172">
        <f t="shared" si="62"/>
        <v>11.04</v>
      </c>
      <c r="CT92" s="172">
        <f t="shared" si="62"/>
        <v>11.04</v>
      </c>
      <c r="CU92" s="172">
        <f t="shared" si="62"/>
        <v>11.04</v>
      </c>
      <c r="CV92" s="172">
        <f t="shared" si="62"/>
        <v>11.04</v>
      </c>
      <c r="CW92" s="172">
        <f t="shared" si="62"/>
        <v>11.04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7.9304347826086961</v>
      </c>
      <c r="AW93" s="172">
        <f t="shared" si="60"/>
        <v>7.9304347826086961</v>
      </c>
      <c r="AX93" s="172">
        <f t="shared" si="60"/>
        <v>7.9304347826086961</v>
      </c>
      <c r="AY93" s="172">
        <f t="shared" si="60"/>
        <v>7.9304347826086961</v>
      </c>
      <c r="AZ93" s="172">
        <f t="shared" si="60"/>
        <v>7.9304347826086961</v>
      </c>
      <c r="BA93" s="172">
        <f t="shared" si="60"/>
        <v>7.9304347826086961</v>
      </c>
      <c r="BB93" s="172">
        <f t="shared" si="60"/>
        <v>7.9304347826086961</v>
      </c>
      <c r="BC93" s="172">
        <f t="shared" si="60"/>
        <v>7.9304347826086961</v>
      </c>
      <c r="BD93" s="172">
        <f t="shared" si="60"/>
        <v>7.9304347826086961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7.9304347826086961</v>
      </c>
      <c r="BP93" s="172">
        <f t="shared" si="60"/>
        <v>7.9304347826086961</v>
      </c>
      <c r="BQ93" s="172">
        <f t="shared" si="60"/>
        <v>7.9304347826086961</v>
      </c>
      <c r="BR93" s="172">
        <f t="shared" si="60"/>
        <v>7.9304347826086961</v>
      </c>
      <c r="BS93" s="172">
        <f t="shared" si="60"/>
        <v>7.9304347826086961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2260.5398260869561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1">
        <f>B95/Troupeau!$B$17</f>
        <v>0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0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366.12173913043478</v>
      </c>
      <c r="AW99" s="61">
        <f t="shared" ref="AW99:BS99" si="68">SUM(AW90:AW98)</f>
        <v>363.47826086956525</v>
      </c>
      <c r="AX99" s="61">
        <f t="shared" si="68"/>
        <v>360.83478260869566</v>
      </c>
      <c r="AY99" s="61">
        <f t="shared" si="68"/>
        <v>359.5130434782609</v>
      </c>
      <c r="AZ99" s="61">
        <f t="shared" si="68"/>
        <v>358.19130434782608</v>
      </c>
      <c r="BA99" s="61">
        <f t="shared" si="68"/>
        <v>356.86956521739131</v>
      </c>
      <c r="BB99" s="61">
        <f t="shared" si="68"/>
        <v>355.54782608695655</v>
      </c>
      <c r="BC99" s="61">
        <f t="shared" si="68"/>
        <v>354.22608695652178</v>
      </c>
      <c r="BD99" s="61">
        <f t="shared" si="68"/>
        <v>351.5826086956522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323.82608695652175</v>
      </c>
      <c r="BH99" s="61">
        <f t="shared" si="68"/>
        <v>323.82608695652175</v>
      </c>
      <c r="BI99" s="61">
        <f t="shared" si="68"/>
        <v>323.82608695652175</v>
      </c>
      <c r="BJ99" s="61">
        <f t="shared" si="68"/>
        <v>323.82608695652175</v>
      </c>
      <c r="BK99" s="61">
        <f t="shared" si="68"/>
        <v>323.82608695652175</v>
      </c>
      <c r="BL99" s="61">
        <f t="shared" si="68"/>
        <v>323.82608695652175</v>
      </c>
      <c r="BM99" s="61">
        <f t="shared" si="68"/>
        <v>323.82608695652175</v>
      </c>
      <c r="BN99" s="61">
        <f t="shared" si="68"/>
        <v>323.82608695652175</v>
      </c>
      <c r="BO99" s="61">
        <f t="shared" si="68"/>
        <v>311.9304347826087</v>
      </c>
      <c r="BP99" s="61">
        <f t="shared" si="68"/>
        <v>311.9304347826087</v>
      </c>
      <c r="BQ99" s="61">
        <f t="shared" si="68"/>
        <v>366.12173913043478</v>
      </c>
      <c r="BR99" s="61">
        <f t="shared" si="68"/>
        <v>366.12173913043478</v>
      </c>
      <c r="BS99" s="61">
        <f t="shared" si="68"/>
        <v>366.12173913043478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7.3224347826086955</v>
      </c>
      <c r="AW100" s="172">
        <f t="shared" ref="AW100:BS100" si="71">IF($AT$2="OL",AW99/50,AW99/10)</f>
        <v>7.269565217391305</v>
      </c>
      <c r="AX100" s="172">
        <f t="shared" si="71"/>
        <v>7.2166956521739136</v>
      </c>
      <c r="AY100" s="172">
        <f t="shared" si="71"/>
        <v>7.1902608695652184</v>
      </c>
      <c r="AZ100" s="172">
        <f t="shared" si="71"/>
        <v>7.1638260869565213</v>
      </c>
      <c r="BA100" s="172">
        <f t="shared" si="71"/>
        <v>7.1373913043478261</v>
      </c>
      <c r="BB100" s="172">
        <f t="shared" si="71"/>
        <v>7.1109565217391308</v>
      </c>
      <c r="BC100" s="172">
        <f t="shared" si="71"/>
        <v>7.0845217391304356</v>
      </c>
      <c r="BD100" s="172">
        <f t="shared" si="71"/>
        <v>7.0316521739130442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6.4765217391304351</v>
      </c>
      <c r="BH100" s="172">
        <f t="shared" si="71"/>
        <v>6.4765217391304351</v>
      </c>
      <c r="BI100" s="172">
        <f t="shared" si="71"/>
        <v>6.4765217391304351</v>
      </c>
      <c r="BJ100" s="172">
        <f t="shared" si="71"/>
        <v>6.4765217391304351</v>
      </c>
      <c r="BK100" s="172">
        <f t="shared" si="71"/>
        <v>6.4765217391304351</v>
      </c>
      <c r="BL100" s="172">
        <f t="shared" si="71"/>
        <v>6.4765217391304351</v>
      </c>
      <c r="BM100" s="172">
        <f t="shared" si="71"/>
        <v>6.4765217391304351</v>
      </c>
      <c r="BN100" s="172">
        <f t="shared" si="71"/>
        <v>6.4765217391304351</v>
      </c>
      <c r="BO100" s="172">
        <f t="shared" si="71"/>
        <v>6.2386086956521742</v>
      </c>
      <c r="BP100" s="172">
        <f t="shared" si="71"/>
        <v>6.2386086956521742</v>
      </c>
      <c r="BQ100" s="172">
        <f t="shared" si="71"/>
        <v>7.3224347826086955</v>
      </c>
      <c r="BR100" s="172">
        <f t="shared" si="71"/>
        <v>7.3224347826086955</v>
      </c>
      <c r="BS100" s="172">
        <f t="shared" si="71"/>
        <v>7.3224347826086955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6.3224347826086955</v>
      </c>
      <c r="AW101" s="172">
        <f t="shared" ref="AW101:BS101" si="74">IF(AW100&gt;1,AW100-1,0)</f>
        <v>6.269565217391305</v>
      </c>
      <c r="AX101" s="172">
        <f t="shared" si="74"/>
        <v>6.2166956521739136</v>
      </c>
      <c r="AY101" s="172">
        <f t="shared" si="74"/>
        <v>6.1902608695652184</v>
      </c>
      <c r="AZ101" s="172">
        <f t="shared" si="74"/>
        <v>6.1638260869565213</v>
      </c>
      <c r="BA101" s="172">
        <f t="shared" si="74"/>
        <v>6.1373913043478261</v>
      </c>
      <c r="BB101" s="172">
        <f t="shared" si="74"/>
        <v>6.1109565217391308</v>
      </c>
      <c r="BC101" s="172">
        <f t="shared" si="74"/>
        <v>6.0845217391304356</v>
      </c>
      <c r="BD101" s="172">
        <f t="shared" si="74"/>
        <v>6.0316521739130442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5.4765217391304351</v>
      </c>
      <c r="BH101" s="172">
        <f t="shared" si="74"/>
        <v>5.4765217391304351</v>
      </c>
      <c r="BI101" s="172">
        <f t="shared" si="74"/>
        <v>5.4765217391304351</v>
      </c>
      <c r="BJ101" s="172">
        <f t="shared" si="74"/>
        <v>5.4765217391304351</v>
      </c>
      <c r="BK101" s="172">
        <f t="shared" si="74"/>
        <v>5.4765217391304351</v>
      </c>
      <c r="BL101" s="172">
        <f t="shared" si="74"/>
        <v>5.4765217391304351</v>
      </c>
      <c r="BM101" s="172">
        <f t="shared" si="74"/>
        <v>5.4765217391304351</v>
      </c>
      <c r="BN101" s="172">
        <f t="shared" si="74"/>
        <v>5.4765217391304351</v>
      </c>
      <c r="BO101" s="172">
        <f t="shared" si="74"/>
        <v>5.2386086956521742</v>
      </c>
      <c r="BP101" s="172">
        <f t="shared" si="74"/>
        <v>5.2386086956521742</v>
      </c>
      <c r="BQ101" s="172">
        <f t="shared" si="74"/>
        <v>6.3224347826086955</v>
      </c>
      <c r="BR101" s="172">
        <f t="shared" si="74"/>
        <v>6.3224347826086955</v>
      </c>
      <c r="BS101" s="172">
        <f t="shared" si="74"/>
        <v>6.3224347826086955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53.064260869565217</v>
      </c>
      <c r="AW102" s="61">
        <f t="shared" ref="AW102:BS102" si="77">AW86+AW87*AW101</f>
        <v>52.971739130434784</v>
      </c>
      <c r="AX102" s="61">
        <f t="shared" si="77"/>
        <v>52.879217391304351</v>
      </c>
      <c r="AY102" s="61">
        <f t="shared" si="77"/>
        <v>52.832956521739135</v>
      </c>
      <c r="AZ102" s="61">
        <f t="shared" si="77"/>
        <v>52.786695652173911</v>
      </c>
      <c r="BA102" s="61">
        <f t="shared" si="77"/>
        <v>52.740434782608695</v>
      </c>
      <c r="BB102" s="61">
        <f t="shared" si="77"/>
        <v>52.694173913043478</v>
      </c>
      <c r="BC102" s="61">
        <f t="shared" si="77"/>
        <v>52.647913043478262</v>
      </c>
      <c r="BD102" s="61">
        <f t="shared" si="77"/>
        <v>52.555391304347829</v>
      </c>
      <c r="BE102" s="61">
        <f t="shared" si="77"/>
        <v>51.583913043478262</v>
      </c>
      <c r="BF102" s="61">
        <f t="shared" si="77"/>
        <v>51.583913043478262</v>
      </c>
      <c r="BG102" s="61">
        <f t="shared" si="77"/>
        <v>51.583913043478262</v>
      </c>
      <c r="BH102" s="61">
        <f t="shared" si="77"/>
        <v>51.583913043478262</v>
      </c>
      <c r="BI102" s="61">
        <f t="shared" si="77"/>
        <v>51.583913043478262</v>
      </c>
      <c r="BJ102" s="61">
        <f t="shared" si="77"/>
        <v>51.583913043478262</v>
      </c>
      <c r="BK102" s="61">
        <f t="shared" si="77"/>
        <v>51.583913043478262</v>
      </c>
      <c r="BL102" s="61">
        <f t="shared" si="77"/>
        <v>51.583913043478262</v>
      </c>
      <c r="BM102" s="61">
        <f t="shared" si="77"/>
        <v>51.583913043478262</v>
      </c>
      <c r="BN102" s="61">
        <f t="shared" si="77"/>
        <v>51.583913043478262</v>
      </c>
      <c r="BO102" s="61">
        <f t="shared" si="77"/>
        <v>51.167565217391306</v>
      </c>
      <c r="BP102" s="61">
        <f t="shared" si="77"/>
        <v>51.167565217391306</v>
      </c>
      <c r="BQ102" s="61">
        <f t="shared" si="77"/>
        <v>53.064260869565217</v>
      </c>
      <c r="BR102" s="61">
        <f t="shared" si="77"/>
        <v>53.064260869565217</v>
      </c>
      <c r="BS102" s="61">
        <f t="shared" si="77"/>
        <v>53.064260869565217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42</v>
      </c>
      <c r="CI102" s="61">
        <f t="shared" si="78"/>
        <v>42</v>
      </c>
      <c r="CJ102" s="61">
        <f t="shared" si="78"/>
        <v>42</v>
      </c>
      <c r="CK102" s="61">
        <f t="shared" si="78"/>
        <v>42</v>
      </c>
      <c r="CL102" s="61">
        <f t="shared" si="78"/>
        <v>42</v>
      </c>
      <c r="CM102" s="61">
        <f t="shared" si="78"/>
        <v>42</v>
      </c>
      <c r="CN102" s="61">
        <f t="shared" si="78"/>
        <v>42</v>
      </c>
      <c r="CO102" s="61">
        <f t="shared" si="78"/>
        <v>42</v>
      </c>
      <c r="CP102" s="61">
        <f t="shared" si="78"/>
        <v>42</v>
      </c>
      <c r="CQ102" s="61">
        <f t="shared" si="78"/>
        <v>42</v>
      </c>
      <c r="CR102" s="61">
        <f t="shared" si="78"/>
        <v>42</v>
      </c>
      <c r="CS102" s="61">
        <f t="shared" si="78"/>
        <v>42</v>
      </c>
      <c r="CT102" s="61">
        <f t="shared" si="78"/>
        <v>42</v>
      </c>
      <c r="CU102" s="61">
        <f t="shared" si="78"/>
        <v>42</v>
      </c>
      <c r="CV102" s="61">
        <f t="shared" si="78"/>
        <v>42</v>
      </c>
      <c r="CW102" s="61">
        <f t="shared" si="78"/>
        <v>42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0</v>
      </c>
      <c r="BB106" s="189">
        <f>IF(BB60&gt;0,HLOOKUP(BB60,[1]Trav!$C$11:$O$31,$AU$105),0)</f>
        <v>0</v>
      </c>
      <c r="BC106" s="189">
        <f>IF(BC60&gt;0,HLOOKUP(BC60,[1]Trav!$C$11:$O$31,$AU$105),0)</f>
        <v>0</v>
      </c>
      <c r="BD106" s="189">
        <f>IF(BD60&gt;0,HLOOKUP(BD60,[1]Trav!$C$11:$O$31,$AU$105),0)</f>
        <v>0</v>
      </c>
      <c r="BE106" s="189">
        <f>IF(BE60&gt;0,HLOOKUP(BE60,[1]Trav!$C$11:$O$31,$AU$105),0)</f>
        <v>0</v>
      </c>
      <c r="BF106" s="189">
        <f>IF(BF60&gt;0,HLOOKUP(BF60,[1]Trav!$C$11:$O$31,$AU$105),0)</f>
        <v>0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0</v>
      </c>
      <c r="BO106" s="189">
        <f>IF(BO60&gt;0,HLOOKUP(BO60,[1]Trav!$C$11:$O$31,$AU$105),0)</f>
        <v>0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0</v>
      </c>
      <c r="CK106" s="189">
        <f>IF(CK60&gt;0,HLOOKUP(CK60,[1]Trav!$C$11:$O$31,$CA$105),0)</f>
        <v>0</v>
      </c>
      <c r="CL106" s="189">
        <f>IF(CL60&gt;0,HLOOKUP(CL60,[1]Trav!$C$11:$O$31,$CA$105),0)</f>
        <v>0</v>
      </c>
      <c r="CM106" s="189">
        <f>IF(CM60&gt;0,HLOOKUP(CM60,[1]Trav!$C$11:$O$31,$CA$105),0)</f>
        <v>0</v>
      </c>
      <c r="CN106" s="189">
        <f>IF(CN60&gt;0,HLOOKUP(CN60,[1]Trav!$C$11:$O$31,$CA$105),0)</f>
        <v>0</v>
      </c>
      <c r="CO106" s="189">
        <f>IF(CO60&gt;0,HLOOKUP(CO60,[1]Trav!$C$11:$O$31,$CA$105),0)</f>
        <v>0</v>
      </c>
      <c r="CP106" s="189">
        <f>IF(CP60&gt;0,HLOOKUP(CP60,[1]Trav!$C$11:$O$31,$CA$105),0)</f>
        <v>0</v>
      </c>
      <c r="CQ106" s="189">
        <f>IF(CQ60&gt;0,HLOOKUP(CQ60,[1]Trav!$C$11:$O$31,$CA$105),0)</f>
        <v>0</v>
      </c>
      <c r="CR106" s="189">
        <f>IF(CR60&gt;0,HLOOKUP(CR60,[1]Trav!$C$11:$O$31,$CA$105),0)</f>
        <v>0</v>
      </c>
      <c r="CS106" s="189">
        <f>IF(CS60&gt;0,HLOOKUP(CS60,[1]Trav!$C$11:$O$31,$CA$105),0)</f>
        <v>0</v>
      </c>
      <c r="CT106" s="189">
        <f>IF(CT60&gt;0,HLOOKUP(CT60,[1]Trav!$C$11:$O$31,$CA$105),0)</f>
        <v>0</v>
      </c>
      <c r="CU106" s="189">
        <f>IF(CU60&gt;0,HLOOKUP(CU60,[1]Trav!$C$11:$O$31,$CA$105),0)</f>
        <v>0</v>
      </c>
      <c r="CV106" s="189">
        <f>IF(CV60&gt;0,HLOOKUP(CV60,[1]Trav!$C$11:$O$31,$CA$105),0)</f>
        <v>0</v>
      </c>
      <c r="CW106" s="189">
        <f>IF(CW60&gt;0,HLOOKUP(CW60,[1]Trav!$C$11:$O$31,$CA$105),0)</f>
        <v>0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0</v>
      </c>
      <c r="AW107" s="189">
        <f>IF(AW61&gt;0,HLOOKUP(AW61,[1]Trav!$C$11:$O$31,$AU$105),0)</f>
        <v>0</v>
      </c>
      <c r="AX107" s="189">
        <f>IF(AX61&gt;0,HLOOKUP(AX61,[1]Trav!$C$11:$O$31,$AU$105),0)</f>
        <v>0</v>
      </c>
      <c r="AY107" s="189">
        <f>IF(AY61&gt;0,HLOOKUP(AY61,[1]Trav!$C$11:$O$31,$AU$105),0)</f>
        <v>0</v>
      </c>
      <c r="AZ107" s="189">
        <f>IF(AZ61&gt;0,HLOOKUP(AZ61,[1]Trav!$C$11:$O$31,$AU$105),0)</f>
        <v>0</v>
      </c>
      <c r="BA107" s="189">
        <f>IF(BA61&gt;0,HLOOKUP(BA61,[1]Trav!$C$11:$O$31,$AU$105),0)</f>
        <v>0</v>
      </c>
      <c r="BB107" s="189">
        <f>IF(BB61&gt;0,HLOOKUP(BB61,[1]Trav!$C$11:$O$31,$AU$105),0)</f>
        <v>0</v>
      </c>
      <c r="BC107" s="189">
        <f>IF(BC61&gt;0,HLOOKUP(BC61,[1]Trav!$C$11:$O$31,$AU$105),0)</f>
        <v>0</v>
      </c>
      <c r="BD107" s="189">
        <f>IF(BD61&gt;0,HLOOKUP(BD61,[1]Trav!$C$11:$O$31,$AU$105),0)</f>
        <v>0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0</v>
      </c>
      <c r="BP107" s="189">
        <f>IF(BP61&gt;0,HLOOKUP(BP61,[1]Trav!$C$11:$O$31,$AU$105),0)</f>
        <v>0</v>
      </c>
      <c r="BQ107" s="189">
        <f>IF(BQ61&gt;0,HLOOKUP(BQ61,[1]Trav!$C$11:$O$31,$AU$105),0)</f>
        <v>0</v>
      </c>
      <c r="BR107" s="189">
        <f>IF(BR61&gt;0,HLOOKUP(BR61,[1]Trav!$C$11:$O$31,$AU$105),0)</f>
        <v>0</v>
      </c>
      <c r="BS107" s="189">
        <f>IF(BS61&gt;0,HLOOKUP(BS61,[1]Trav!$C$11:$O$31,$AU$105),0)</f>
        <v>0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0</v>
      </c>
      <c r="CK107" s="189">
        <f>IF(CK61&gt;0,HLOOKUP(CK61,[1]Trav!$C$11:$O$31,$CA$105),0)</f>
        <v>0</v>
      </c>
      <c r="CL107" s="189">
        <f>IF(CL61&gt;0,HLOOKUP(CL61,[1]Trav!$C$11:$O$31,$CA$105),0)</f>
        <v>0</v>
      </c>
      <c r="CM107" s="189">
        <f>IF(CM61&gt;0,HLOOKUP(CM61,[1]Trav!$C$11:$O$31,$CA$105),0)</f>
        <v>0</v>
      </c>
      <c r="CN107" s="189">
        <f>IF(CN61&gt;0,HLOOKUP(CN61,[1]Trav!$C$11:$O$31,$CA$105),0)</f>
        <v>0</v>
      </c>
      <c r="CO107" s="189">
        <f>IF(CO61&gt;0,HLOOKUP(CO61,[1]Trav!$C$11:$O$31,$CA$105),0)</f>
        <v>0</v>
      </c>
      <c r="CP107" s="189">
        <f>IF(CP61&gt;0,HLOOKUP(CP61,[1]Trav!$C$11:$O$31,$CA$105),0)</f>
        <v>0</v>
      </c>
      <c r="CQ107" s="189">
        <f>IF(CQ61&gt;0,HLOOKUP(CQ61,[1]Trav!$C$11:$O$31,$CA$105),0)</f>
        <v>0</v>
      </c>
      <c r="CR107" s="189">
        <f>IF(CR61&gt;0,HLOOKUP(CR61,[1]Trav!$C$11:$O$31,$CA$105),0)</f>
        <v>0</v>
      </c>
      <c r="CS107" s="189">
        <f>IF(CS61&gt;0,HLOOKUP(CS61,[1]Trav!$C$11:$O$31,$CA$105),0)</f>
        <v>0</v>
      </c>
      <c r="CT107" s="189">
        <f>IF(CT61&gt;0,HLOOKUP(CT61,[1]Trav!$C$11:$O$31,$CA$105),0)</f>
        <v>0</v>
      </c>
      <c r="CU107" s="189">
        <f>IF(CU61&gt;0,HLOOKUP(CU61,[1]Trav!$C$11:$O$31,$CA$105),0)</f>
        <v>0</v>
      </c>
      <c r="CV107" s="189">
        <f>IF(CV61&gt;0,HLOOKUP(CV61,[1]Trav!$C$11:$O$31,$CA$105),0)</f>
        <v>0</v>
      </c>
      <c r="CW107" s="189">
        <f>IF(CW61&gt;0,HLOOKUP(CW61,[1]Trav!$C$11:$O$31,$CA$105),0)</f>
        <v>0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514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0</v>
      </c>
      <c r="BB108" s="189">
        <f>IF(BB62&gt;0,HLOOKUP(BB62,[1]Trav!$C$11:$O$31,$AU$105),0)</f>
        <v>0</v>
      </c>
      <c r="BC108" s="189">
        <f>IF(BC62&gt;0,HLOOKUP(BC62,[1]Trav!$C$11:$O$31,$AU$105),0)</f>
        <v>0</v>
      </c>
      <c r="BD108" s="189">
        <f>IF(BD62&gt;0,HLOOKUP(BD62,[1]Trav!$C$11:$O$31,$AU$105),0)</f>
        <v>0</v>
      </c>
      <c r="BE108" s="189">
        <f>IF(BE62&gt;0,HLOOKUP(BE62,[1]Trav!$C$11:$O$31,$AU$105),0)</f>
        <v>0</v>
      </c>
      <c r="BF108" s="189">
        <f>IF(BF62&gt;0,HLOOKUP(BF62,[1]Trav!$C$11:$O$31,$AU$105),0)</f>
        <v>0</v>
      </c>
      <c r="BG108" s="189">
        <f>IF(BG62&gt;0,HLOOKUP(BG62,[1]Trav!$C$11:$O$31,$AU$105),0)</f>
        <v>0</v>
      </c>
      <c r="BH108" s="189">
        <f>IF(BH62&gt;0,HLOOKUP(BH62,[1]Trav!$C$11:$O$31,$AU$105),0)</f>
        <v>0</v>
      </c>
      <c r="BI108" s="189">
        <f>IF(BI62&gt;0,HLOOKUP(BI62,[1]Trav!$C$11:$O$31,$AU$105),0)</f>
        <v>0</v>
      </c>
      <c r="BJ108" s="189">
        <f>IF(BJ62&gt;0,HLOOKUP(BJ62,[1]Trav!$C$11:$O$31,$AU$105),0)</f>
        <v>0</v>
      </c>
      <c r="BK108" s="189">
        <f>IF(BK62&gt;0,HLOOKUP(BK62,[1]Trav!$C$11:$O$31,$AU$105),0)</f>
        <v>0</v>
      </c>
      <c r="BL108" s="189">
        <f>IF(BL62&gt;0,HLOOKUP(BL62,[1]Trav!$C$11:$O$31,$AU$105),0)</f>
        <v>0</v>
      </c>
      <c r="BM108" s="189">
        <f>IF(BM62&gt;0,HLOOKUP(BM62,[1]Trav!$C$11:$O$31,$AU$105),0)</f>
        <v>0</v>
      </c>
      <c r="BN108" s="189">
        <f>IF(BN62&gt;0,HLOOKUP(BN62,[1]Trav!$C$11:$O$31,$AU$105),0)</f>
        <v>0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0</v>
      </c>
      <c r="CI108" s="189">
        <f>IF(CI62&gt;0,HLOOKUP(CI62,[1]Trav!$C$11:$O$31,$CA$105),0)</f>
        <v>0</v>
      </c>
      <c r="CJ108" s="189">
        <f>IF(CJ62&gt;0,HLOOKUP(CJ62,[1]Trav!$C$11:$O$31,$CA$105),0)</f>
        <v>0</v>
      </c>
      <c r="CK108" s="189">
        <f>IF(CK62&gt;0,HLOOKUP(CK62,[1]Trav!$C$11:$O$31,$CA$105),0)</f>
        <v>0</v>
      </c>
      <c r="CL108" s="189">
        <f>IF(CL62&gt;0,HLOOKUP(CL62,[1]Trav!$C$11:$O$31,$CA$105),0)</f>
        <v>0</v>
      </c>
      <c r="CM108" s="189">
        <f>IF(CM62&gt;0,HLOOKUP(CM62,[1]Trav!$C$11:$O$31,$CA$105),0)</f>
        <v>0</v>
      </c>
      <c r="CN108" s="189">
        <f>IF(CN62&gt;0,HLOOKUP(CN62,[1]Trav!$C$11:$O$31,$CA$105),0)</f>
        <v>0</v>
      </c>
      <c r="CO108" s="189">
        <f>IF(CO62&gt;0,HLOOKUP(CO62,[1]Trav!$C$11:$O$31,$CA$105),0)</f>
        <v>0</v>
      </c>
      <c r="CP108" s="189">
        <f>IF(CP62&gt;0,HLOOKUP(CP62,[1]Trav!$C$11:$O$31,$CA$105),0)</f>
        <v>0</v>
      </c>
      <c r="CQ108" s="189">
        <f>IF(CQ62&gt;0,HLOOKUP(CQ62,[1]Trav!$C$11:$O$31,$CA$105),0)</f>
        <v>0</v>
      </c>
      <c r="CR108" s="189">
        <f>IF(CR62&gt;0,HLOOKUP(CR62,[1]Trav!$C$11:$O$31,$CA$105),0)</f>
        <v>0</v>
      </c>
      <c r="CS108" s="189">
        <f>IF(CS62&gt;0,HLOOKUP(CS62,[1]Trav!$C$11:$O$31,$CA$105),0)</f>
        <v>0</v>
      </c>
      <c r="CT108" s="189">
        <f>IF(CT62&gt;0,HLOOKUP(CT62,[1]Trav!$C$11:$O$31,$CA$105),0)</f>
        <v>0</v>
      </c>
      <c r="CU108" s="189">
        <f>IF(CU62&gt;0,HLOOKUP(CU62,[1]Trav!$C$11:$O$31,$CA$105),0)</f>
        <v>0</v>
      </c>
      <c r="CV108" s="189">
        <f>IF(CV62&gt;0,HLOOKUP(CV62,[1]Trav!$C$11:$O$31,$CA$105),0)</f>
        <v>0</v>
      </c>
      <c r="CW108" s="189">
        <f>IF(CW62&gt;0,HLOOKUP(CW62,[1]Trav!$C$11:$O$31,$CA$105),0)</f>
        <v>0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6"/>
      <c r="AT109" s="188" t="str">
        <f t="shared" si="80"/>
        <v>beliers</v>
      </c>
      <c r="AV109" s="189">
        <f>IF(AV63&gt;0,HLOOKUP(AV63,[1]Trav!$C$11:$O$31,$AU$105),0)</f>
        <v>0</v>
      </c>
      <c r="AW109" s="189">
        <f>IF(AW63&gt;0,HLOOKUP(AW63,[1]Trav!$C$11:$O$31,$AU$105),0)</f>
        <v>0</v>
      </c>
      <c r="AX109" s="189">
        <f>IF(AX63&gt;0,HLOOKUP(AX63,[1]Trav!$C$11:$O$31,$AU$105),0)</f>
        <v>0</v>
      </c>
      <c r="AY109" s="189">
        <f>IF(AY63&gt;0,HLOOKUP(AY63,[1]Trav!$C$11:$O$31,$AU$105),0)</f>
        <v>0</v>
      </c>
      <c r="AZ109" s="189">
        <f>IF(AZ63&gt;0,HLOOKUP(AZ63,[1]Trav!$C$11:$O$31,$AU$105),0)</f>
        <v>0</v>
      </c>
      <c r="BA109" s="189">
        <f>IF(BA63&gt;0,HLOOKUP(BA63,[1]Trav!$C$11:$O$31,$AU$105),0)</f>
        <v>0</v>
      </c>
      <c r="BB109" s="189">
        <f>IF(BB63&gt;0,HLOOKUP(BB63,[1]Trav!$C$11:$O$31,$AU$105),0)</f>
        <v>0</v>
      </c>
      <c r="BC109" s="189">
        <f>IF(BC63&gt;0,HLOOKUP(BC63,[1]Trav!$C$11:$O$31,$AU$105),0)</f>
        <v>0</v>
      </c>
      <c r="BD109" s="189">
        <f>IF(BD63&gt;0,HLOOKUP(BD63,[1]Trav!$C$11:$O$31,$AU$105),0)</f>
        <v>0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0</v>
      </c>
      <c r="BP109" s="189">
        <f>IF(BP63&gt;0,HLOOKUP(BP63,[1]Trav!$C$11:$O$31,$AU$105),0)</f>
        <v>0</v>
      </c>
      <c r="BQ109" s="189">
        <f>IF(BQ63&gt;0,HLOOKUP(BQ63,[1]Trav!$C$11:$O$31,$AU$105),0)</f>
        <v>0</v>
      </c>
      <c r="BR109" s="189">
        <f>IF(BR63&gt;0,HLOOKUP(BR63,[1]Trav!$C$11:$O$31,$AU$105),0)</f>
        <v>0</v>
      </c>
      <c r="BS109" s="189">
        <f>IF(BS63&gt;0,HLOOKUP(BS63,[1]Trav!$C$11:$O$31,$AU$105),0)</f>
        <v>0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9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0</v>
      </c>
      <c r="AW117" s="172">
        <f t="shared" ref="AW117:BS117" si="83">SUM(AW106:AW115)</f>
        <v>0</v>
      </c>
      <c r="AX117" s="172">
        <f t="shared" si="83"/>
        <v>0</v>
      </c>
      <c r="AY117" s="172">
        <f t="shared" si="83"/>
        <v>0</v>
      </c>
      <c r="AZ117" s="172">
        <f t="shared" si="83"/>
        <v>0</v>
      </c>
      <c r="BA117" s="172">
        <f t="shared" si="83"/>
        <v>0</v>
      </c>
      <c r="BB117" s="172">
        <f t="shared" si="83"/>
        <v>0</v>
      </c>
      <c r="BC117" s="172">
        <f t="shared" si="83"/>
        <v>0</v>
      </c>
      <c r="BD117" s="172">
        <f t="shared" si="83"/>
        <v>0</v>
      </c>
      <c r="BE117" s="172">
        <f t="shared" si="83"/>
        <v>0</v>
      </c>
      <c r="BF117" s="172">
        <f t="shared" si="83"/>
        <v>0</v>
      </c>
      <c r="BG117" s="172">
        <f t="shared" si="83"/>
        <v>0</v>
      </c>
      <c r="BH117" s="172">
        <f t="shared" si="83"/>
        <v>0</v>
      </c>
      <c r="BI117" s="172">
        <f t="shared" si="83"/>
        <v>0</v>
      </c>
      <c r="BJ117" s="172">
        <f t="shared" si="83"/>
        <v>0</v>
      </c>
      <c r="BK117" s="172">
        <f t="shared" si="83"/>
        <v>0</v>
      </c>
      <c r="BL117" s="172">
        <f t="shared" si="83"/>
        <v>0</v>
      </c>
      <c r="BM117" s="172">
        <f t="shared" si="83"/>
        <v>0</v>
      </c>
      <c r="BN117" s="172">
        <f t="shared" si="83"/>
        <v>0</v>
      </c>
      <c r="BO117" s="172">
        <f t="shared" si="83"/>
        <v>0</v>
      </c>
      <c r="BP117" s="172">
        <f t="shared" si="83"/>
        <v>0</v>
      </c>
      <c r="BQ117" s="172">
        <f t="shared" si="83"/>
        <v>0</v>
      </c>
      <c r="BR117" s="172">
        <f t="shared" si="83"/>
        <v>0</v>
      </c>
      <c r="BS117" s="172">
        <f t="shared" si="83"/>
        <v>0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0</v>
      </c>
      <c r="CI117" s="172">
        <f t="shared" si="84"/>
        <v>0</v>
      </c>
      <c r="CJ117" s="172">
        <f t="shared" si="84"/>
        <v>0</v>
      </c>
      <c r="CK117" s="172">
        <f t="shared" si="84"/>
        <v>0</v>
      </c>
      <c r="CL117" s="172">
        <f t="shared" si="84"/>
        <v>0</v>
      </c>
      <c r="CM117" s="172">
        <f t="shared" si="84"/>
        <v>0</v>
      </c>
      <c r="CN117" s="172">
        <f t="shared" si="84"/>
        <v>0</v>
      </c>
      <c r="CO117" s="172">
        <f t="shared" si="84"/>
        <v>0</v>
      </c>
      <c r="CP117" s="172">
        <f t="shared" si="84"/>
        <v>0</v>
      </c>
      <c r="CQ117" s="172">
        <f t="shared" si="84"/>
        <v>0</v>
      </c>
      <c r="CR117" s="172">
        <f t="shared" si="84"/>
        <v>0</v>
      </c>
      <c r="CS117" s="172">
        <f t="shared" si="84"/>
        <v>0</v>
      </c>
      <c r="CT117" s="172">
        <f t="shared" si="84"/>
        <v>0</v>
      </c>
      <c r="CU117" s="172">
        <f t="shared" si="84"/>
        <v>0</v>
      </c>
      <c r="CV117" s="172">
        <f t="shared" si="84"/>
        <v>0</v>
      </c>
      <c r="CW117" s="172">
        <f t="shared" si="84"/>
        <v>0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2432.7031594202899</v>
      </c>
      <c r="D118" s="201">
        <f>B118/Troupeau!$B$17</f>
        <v>8.0023130244088492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1110</v>
      </c>
      <c r="D119" s="201">
        <f>IF(B119=0,0,B119/Troupeau!$C$17)</f>
        <v>48.260869565217391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3542.7031594202899</v>
      </c>
    </row>
    <row r="123" spans="1:132" x14ac:dyDescent="0.25">
      <c r="A123" s="2" t="s">
        <v>856</v>
      </c>
      <c r="B123" s="30">
        <f>B108</f>
        <v>514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9</v>
      </c>
    </row>
    <row r="128" spans="1:132" x14ac:dyDescent="0.25">
      <c r="A128" s="2" t="s">
        <v>873</v>
      </c>
      <c r="B128" s="200">
        <f>SUM(B122:B126)</f>
        <v>4665.7031594202899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0">
        <f>ROUND((B128-B129)/(Scénario!K4+Scénario!K6),0)</f>
        <v>3110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100" zoomScale="90" zoomScaleNormal="90" workbookViewId="0">
      <selection activeCell="U54" sqref="U54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28</v>
      </c>
      <c r="AC6" s="30" t="str">
        <f>LEFT('Alim -Surf'!B34,10)</f>
        <v>landes lit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2.4500000000000002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-Surf'!E34:E43)-'Alim -Surf'!E34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30.159999999999997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7380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30.159999999999997</v>
      </c>
      <c r="AA39" s="14" t="s">
        <v>979</v>
      </c>
      <c r="AB39" s="172">
        <f>IF(Z39&gt;50,25,IF(Z39&gt;25,Z39-25,0))</f>
        <v>5.1599999999999966</v>
      </c>
      <c r="AC39" s="172">
        <f>AC40+0.66*AC36</f>
        <v>240.28</v>
      </c>
      <c r="AD39" s="172">
        <f t="shared" ref="AD39:AD40" si="21">AB39*AC39</f>
        <v>1239.8447999999992</v>
      </c>
      <c r="AE39" s="281">
        <f>IF($AJ$40=0,AB39*$AC$40,AD39*$AJ$40/100)</f>
        <v>1115.8603199999991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0</v>
      </c>
      <c r="AC40" s="189">
        <f>[1]Eco!$B$34</f>
        <v>70</v>
      </c>
      <c r="AD40" s="172">
        <f t="shared" si="21"/>
        <v>0</v>
      </c>
      <c r="AE40" s="281">
        <f>IF($AJ$40=0,AB40*$AC$40,AD40*$AJ$40/100)</f>
        <v>0</v>
      </c>
      <c r="AF40" s="279"/>
      <c r="AG40" s="279"/>
      <c r="AH40" s="279"/>
      <c r="AI40" s="284" t="s">
        <v>1440</v>
      </c>
      <c r="AJ40" s="281">
        <f>IF(AJ36&lt;=AJ38,100,IF(AJ36&lt;=AJ39,90,0))</f>
        <v>90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9439.8447999999989</v>
      </c>
      <c r="AE41" s="282">
        <f>ROUND(SUM(AE38:AE40)*T25,0)</f>
        <v>8496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30.159999999999997</v>
      </c>
      <c r="C42" s="214">
        <f>[1]Eco!$B$24</f>
        <v>97</v>
      </c>
      <c r="J42" s="172">
        <f>B42*C42</f>
        <v>2925.5199999999995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30.159999999999997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1477.84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30.159999999999997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2020.7199999999998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8496</v>
      </c>
      <c r="K45" s="172"/>
      <c r="L45" s="172"/>
      <c r="M45" s="172"/>
      <c r="N45" s="172"/>
      <c r="O45" s="209"/>
      <c r="U45" s="14" t="s">
        <v>990</v>
      </c>
      <c r="V45" s="172">
        <f>S55</f>
        <v>0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0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30.159999999999997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88011.28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0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0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0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177.50000000000006</v>
      </c>
      <c r="C118" s="189">
        <f>IF(Scénario!$K$12="BV",[1]Eco!$B$78,IF(Scénario!$K$12="BL",[1]Eco!$B$77,[1]Eco!$B$76))</f>
        <v>223</v>
      </c>
      <c r="J118" s="172">
        <f>B118*C118</f>
        <v>39582.500000000015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23.255000000000003</v>
      </c>
      <c r="C119" s="189">
        <f>[1]Eco!$B$79</f>
        <v>80</v>
      </c>
      <c r="J119" s="172">
        <f>B119*C119</f>
        <v>1860.4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landes lit</v>
      </c>
      <c r="B122" s="172">
        <f>'Alim -Surf'!D34</f>
        <v>28</v>
      </c>
      <c r="C122" s="172">
        <f>'Alim -Surf'!E34</f>
        <v>7.1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0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0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0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0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22.9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1551.4749999999999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1809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0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75443.075000000012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22.9</v>
      </c>
      <c r="X153" t="s">
        <v>52</v>
      </c>
      <c r="Y153" s="172">
        <f>W153-Scénario!K28</f>
        <v>0.69999999999999929</v>
      </c>
      <c r="Z153" s="172">
        <f>Y153-Y156</f>
        <v>0.62999999999999934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22.9</v>
      </c>
      <c r="X154" t="s">
        <v>52</v>
      </c>
      <c r="Y154" s="172">
        <f>W154-Scénario!K29</f>
        <v>10.799999999999997</v>
      </c>
      <c r="Z154" s="172">
        <f>Y154</f>
        <v>10.799999999999997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15</v>
      </c>
      <c r="X155" t="s">
        <v>52</v>
      </c>
      <c r="Y155" s="172">
        <f>W155-Scénario!K30</f>
        <v>10.1</v>
      </c>
      <c r="Z155" s="172">
        <f t="shared" ref="Z155:Z156" si="68">Y155</f>
        <v>10.1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6.9999999999999923E-2</v>
      </c>
      <c r="Z156" s="172">
        <f t="shared" si="68"/>
        <v>6.9999999999999923E-2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0.62999999999999934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22.805999999999976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10.799999999999997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323.99999999999989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10.1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303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6.9999999999999923E-2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10.877999999999988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72">IF($T165&gt;0,$S165,0)</f>
        <v>0</v>
      </c>
      <c r="V165" s="172">
        <f t="shared" ref="V165:V207" si="73">IF($T165&gt;1,$S165,0)</f>
        <v>0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0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0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0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0</v>
      </c>
      <c r="K166" s="172"/>
      <c r="L166" s="172"/>
      <c r="M166" s="172"/>
      <c r="N166" s="172"/>
      <c r="Q166">
        <v>3</v>
      </c>
      <c r="R166" s="172">
        <f>'Alim -Surf'!Q9</f>
        <v>294</v>
      </c>
      <c r="S166" s="172">
        <f>'Alim -Surf'!R9</f>
        <v>3.5</v>
      </c>
      <c r="T166" s="172">
        <f>VLOOKUP(R166,[1]MEP!$A$4:$M$300,13)</f>
        <v>2</v>
      </c>
      <c r="U166" s="172">
        <f t="shared" si="72"/>
        <v>3.5</v>
      </c>
      <c r="V166" s="172">
        <f t="shared" si="73"/>
        <v>3.5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0</v>
      </c>
      <c r="AJ166" s="172">
        <f t="shared" si="82"/>
        <v>3.5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0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0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0</v>
      </c>
      <c r="T167" s="172">
        <f>VLOOKUP(R167,[1]MEP!$A$4:$M$300,13)</f>
        <v>1</v>
      </c>
      <c r="U167" s="172">
        <f t="shared" si="72"/>
        <v>0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0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0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274</v>
      </c>
      <c r="S168" s="172">
        <f>'Alim -Surf'!R11</f>
        <v>7.6</v>
      </c>
      <c r="T168" s="172">
        <f>VLOOKUP(R168,[1]MEP!$A$4:$M$300,13)</f>
        <v>3</v>
      </c>
      <c r="U168" s="172">
        <f t="shared" si="72"/>
        <v>7.6</v>
      </c>
      <c r="V168" s="172">
        <f t="shared" si="73"/>
        <v>7.6</v>
      </c>
      <c r="W168" s="172">
        <f t="shared" si="74"/>
        <v>7.6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7.6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0</v>
      </c>
      <c r="AI168" s="172">
        <f t="shared" si="81"/>
        <v>0</v>
      </c>
      <c r="AJ168" s="172">
        <f t="shared" si="82"/>
        <v>7.6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266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25513.576000000001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-12945.371000000014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-8630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0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-23945.371000000014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-15964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274</v>
      </c>
      <c r="S186" s="172">
        <f>'Alim -Surf'!R29</f>
        <v>5.4</v>
      </c>
      <c r="T186" s="172">
        <f>VLOOKUP(R186,[1]MEP!$A$4:$M$300,13)</f>
        <v>3</v>
      </c>
      <c r="U186" s="172">
        <f t="shared" si="72"/>
        <v>5.4</v>
      </c>
      <c r="V186" s="172">
        <f t="shared" si="73"/>
        <v>5.4</v>
      </c>
      <c r="W186" s="172">
        <f t="shared" si="74"/>
        <v>5.4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5.4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5.4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294</v>
      </c>
      <c r="S187" s="172">
        <f>'Alim -Surf'!R30</f>
        <v>4.4000000000000004</v>
      </c>
      <c r="T187" s="172">
        <f>VLOOKUP(R187,[1]MEP!$A$4:$M$300,13)</f>
        <v>2</v>
      </c>
      <c r="U187" s="172">
        <f t="shared" si="72"/>
        <v>4.4000000000000004</v>
      </c>
      <c r="V187" s="172">
        <f t="shared" si="73"/>
        <v>4.4000000000000004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4.4000000000000004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4.4000000000000004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274</v>
      </c>
      <c r="S189" s="172">
        <f>'Alim -Surf'!R32</f>
        <v>2</v>
      </c>
      <c r="T189" s="172">
        <f>VLOOKUP(R189,[1]MEP!$A$4:$M$300,13)</f>
        <v>3</v>
      </c>
      <c r="U189" s="172">
        <f t="shared" si="72"/>
        <v>2</v>
      </c>
      <c r="V189" s="172">
        <f t="shared" si="73"/>
        <v>2</v>
      </c>
      <c r="W189" s="172">
        <f t="shared" si="74"/>
        <v>2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22.9</v>
      </c>
      <c r="V228" s="61">
        <f t="shared" ref="V228:W228" si="84">SUM(V164:V227)</f>
        <v>22.9</v>
      </c>
      <c r="W228" s="61">
        <f t="shared" si="84"/>
        <v>15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0</v>
      </c>
      <c r="AI228" s="61">
        <f t="shared" si="86"/>
        <v>0</v>
      </c>
      <c r="AJ228" s="61">
        <f t="shared" si="86"/>
        <v>22.9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2"/>
      <c r="W234" s="172">
        <f>[1]Protect!$B$4</f>
        <v>6</v>
      </c>
      <c r="X234" s="172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2">
        <f>[1]Protect!$B$83</f>
        <v>2000</v>
      </c>
      <c r="X235" s="172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2</v>
      </c>
      <c r="X245" s="172">
        <f>ROUND((([1]Protect!$B$5/[1]Protect!$B$11)+[1]Protect!$B$8)*T245,0)</f>
        <v>1809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2">
        <f>[1]Eco!$B$106*[1]Eco!$B$108*[1]Eco!$B$109</f>
        <v>2551.2000000000003</v>
      </c>
      <c r="X246" s="172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2">
        <f>[1]Eco!$B$111</f>
        <v>28.3</v>
      </c>
      <c r="X247" s="172">
        <f>T247*W247</f>
        <v>0</v>
      </c>
    </row>
    <row r="248" spans="17:31" x14ac:dyDescent="0.25">
      <c r="W248" s="14" t="s">
        <v>1117</v>
      </c>
      <c r="X248" s="172">
        <f>SUM(X245:X247)</f>
        <v>1809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0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2">
        <f>IF(T256=0,0,[1]Protect!$B76)</f>
        <v>7500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2">
        <f>IF(T258=0,0,[1]Protect!$B78)</f>
        <v>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0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0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0</v>
      </c>
      <c r="U272" s="172"/>
      <c r="V272" s="172"/>
      <c r="W272" s="172">
        <f>W234</f>
        <v>6</v>
      </c>
      <c r="X272" s="172">
        <f>T272*W272</f>
        <v>0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</v>
      </c>
      <c r="U274" s="172"/>
      <c r="V274" s="172"/>
      <c r="W274" s="172">
        <f>W271</f>
        <v>100</v>
      </c>
      <c r="X274" s="172">
        <f>T274*W274</f>
        <v>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26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Z1_OLBV_T3_Ms5</v>
      </c>
      <c r="D1" s="274" t="str">
        <f>CONCATENATE(C1,"_corr")</f>
        <v>Z1_OLBV_T3_Ms5_corr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0</v>
      </c>
      <c r="D23" s="176">
        <f t="shared" si="0"/>
        <v>0</v>
      </c>
    </row>
    <row r="24" spans="2:5" x14ac:dyDescent="0.25">
      <c r="B24" s="14" t="s">
        <v>570</v>
      </c>
      <c r="C24" s="176">
        <f>Scénario!K55</f>
        <v>0</v>
      </c>
      <c r="D24" s="176">
        <f t="shared" si="0"/>
        <v>0</v>
      </c>
    </row>
    <row r="25" spans="2:5" x14ac:dyDescent="0.25">
      <c r="B25" s="14" t="s">
        <v>571</v>
      </c>
      <c r="C25" s="176">
        <f>Scénario!K56</f>
        <v>1</v>
      </c>
      <c r="D25" s="176">
        <f t="shared" si="0"/>
        <v>1</v>
      </c>
    </row>
    <row r="26" spans="2:5" x14ac:dyDescent="0.25">
      <c r="B26" s="14" t="s">
        <v>574</v>
      </c>
      <c r="C26" s="176" t="str">
        <f>Scénario!K57</f>
        <v>1. 1 visite par semaine</v>
      </c>
      <c r="D26" s="176" t="str">
        <f t="shared" si="0"/>
        <v>1. 1 visite par semaine</v>
      </c>
    </row>
    <row r="27" spans="2:5" x14ac:dyDescent="0.25">
      <c r="B27" s="14" t="s">
        <v>577</v>
      </c>
      <c r="C27" s="176">
        <f>Scénario!K58</f>
        <v>0</v>
      </c>
      <c r="D27" s="176">
        <f t="shared" si="0"/>
        <v>0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0</v>
      </c>
      <c r="D31" s="176">
        <f t="shared" si="0"/>
        <v>0</v>
      </c>
    </row>
    <row r="32" spans="2:5" x14ac:dyDescent="0.25">
      <c r="B32" s="14" t="s">
        <v>584</v>
      </c>
      <c r="C32" s="176">
        <f>Scénario!K62</f>
        <v>0</v>
      </c>
      <c r="D32" s="176">
        <f t="shared" si="0"/>
        <v>0</v>
      </c>
      <c r="E32" s="14"/>
    </row>
    <row r="33" spans="2:5" x14ac:dyDescent="0.25">
      <c r="B33" s="14" t="s">
        <v>585</v>
      </c>
      <c r="C33" s="176" t="str">
        <f>Scénario!K64</f>
        <v>0. pas de transh ou pas de cheptel</v>
      </c>
      <c r="D33" s="176" t="str">
        <f t="shared" si="0"/>
        <v>0. pas de transh ou pas de cheptel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0</v>
      </c>
      <c r="D39" s="176">
        <f t="shared" si="0"/>
        <v>0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0</v>
      </c>
      <c r="D41" s="176">
        <f t="shared" si="0"/>
        <v>0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5</v>
      </c>
      <c r="D51" s="176">
        <f t="shared" si="0"/>
        <v>5</v>
      </c>
      <c r="E51" s="14"/>
    </row>
    <row r="52" spans="1:132" x14ac:dyDescent="0.25">
      <c r="B52" s="19" t="s">
        <v>596</v>
      </c>
      <c r="C52" s="176">
        <f>Scénario!K84</f>
        <v>0</v>
      </c>
      <c r="D52" s="176">
        <f t="shared" si="0"/>
        <v>0</v>
      </c>
      <c r="E52" s="14"/>
    </row>
    <row r="53" spans="1:132" x14ac:dyDescent="0.25">
      <c r="B53" s="14" t="s">
        <v>606</v>
      </c>
      <c r="C53" s="176">
        <f>Scénario!K88</f>
        <v>0</v>
      </c>
      <c r="D53" s="176">
        <f t="shared" si="0"/>
        <v>0</v>
      </c>
      <c r="E53" s="14"/>
    </row>
    <row r="54" spans="1:132" x14ac:dyDescent="0.25">
      <c r="B54" s="14" t="s">
        <v>623</v>
      </c>
      <c r="C54" s="176">
        <f>Scénario!K89</f>
        <v>0</v>
      </c>
      <c r="D54" s="176">
        <f t="shared" si="0"/>
        <v>0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0</v>
      </c>
      <c r="D59" s="176">
        <f t="shared" si="0"/>
        <v>0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0</v>
      </c>
      <c r="D61" s="176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22.9</v>
      </c>
      <c r="D85" s="260">
        <f>ROUND(C85*$D$82/$C$82,3)</f>
        <v>25.19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22.9</v>
      </c>
      <c r="D86" s="260">
        <f t="shared" ref="D86:D97" si="14">ROUND(C86*$D$82/$C$82,3)</f>
        <v>25.19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15</v>
      </c>
      <c r="D87" s="260">
        <f t="shared" si="14"/>
        <v>16.5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2.29</v>
      </c>
      <c r="D88" s="260">
        <f t="shared" si="14"/>
        <v>2.5190000000000001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7.1</v>
      </c>
      <c r="D89" s="260">
        <f t="shared" si="14"/>
        <v>7.81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lot4</v>
      </c>
      <c r="CA90" s="191">
        <f>Scénario!K109</f>
        <v>0</v>
      </c>
      <c r="CB90" s="172">
        <f t="shared" si="21"/>
        <v>0</v>
      </c>
      <c r="CC90" s="172">
        <f t="shared" si="18"/>
        <v>0</v>
      </c>
      <c r="CD90" s="172">
        <f t="shared" si="18"/>
        <v>0</v>
      </c>
      <c r="CE90" s="172">
        <f t="shared" si="18"/>
        <v>0</v>
      </c>
      <c r="CF90" s="172">
        <f t="shared" si="18"/>
        <v>0</v>
      </c>
      <c r="CG90" s="172">
        <f t="shared" si="18"/>
        <v>0</v>
      </c>
      <c r="CH90" s="172">
        <f t="shared" si="18"/>
        <v>0</v>
      </c>
      <c r="CI90" s="172">
        <f t="shared" si="18"/>
        <v>0</v>
      </c>
      <c r="CJ90" s="172">
        <f t="shared" si="18"/>
        <v>0</v>
      </c>
      <c r="CK90" s="172">
        <f t="shared" si="18"/>
        <v>0</v>
      </c>
      <c r="CL90" s="172">
        <f t="shared" si="18"/>
        <v>0</v>
      </c>
      <c r="CM90" s="172">
        <f t="shared" si="18"/>
        <v>0</v>
      </c>
      <c r="CN90" s="172">
        <f t="shared" si="18"/>
        <v>0</v>
      </c>
      <c r="CO90" s="172">
        <f t="shared" si="18"/>
        <v>0</v>
      </c>
      <c r="CP90" s="172">
        <f t="shared" si="18"/>
        <v>0</v>
      </c>
      <c r="CQ90" s="172">
        <f t="shared" si="18"/>
        <v>0</v>
      </c>
      <c r="CR90" s="172">
        <f t="shared" si="18"/>
        <v>0</v>
      </c>
      <c r="CS90" s="172">
        <f t="shared" si="18"/>
        <v>0</v>
      </c>
      <c r="CT90" s="172">
        <f t="shared" si="18"/>
        <v>0</v>
      </c>
      <c r="CU90" s="172">
        <f t="shared" si="18"/>
        <v>0</v>
      </c>
      <c r="CV90" s="172">
        <f t="shared" si="18"/>
        <v>0</v>
      </c>
      <c r="CW90" s="172">
        <f t="shared" si="18"/>
        <v>0</v>
      </c>
      <c r="CX90" s="172">
        <f t="shared" si="18"/>
        <v>0</v>
      </c>
      <c r="CY90" s="172">
        <f t="shared" si="18"/>
        <v>0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0</v>
      </c>
      <c r="O94" s="30">
        <f>CdTrp1!I76</f>
        <v>0</v>
      </c>
      <c r="P94" s="30">
        <f>CdTrp1!J76</f>
        <v>0</v>
      </c>
      <c r="Q94" s="30">
        <f>CdTrp1!K76</f>
        <v>0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0</v>
      </c>
      <c r="N95" s="30">
        <f>CdTrp1!H77</f>
        <v>0</v>
      </c>
      <c r="O95" s="30">
        <f>CdTrp1!I77</f>
        <v>0</v>
      </c>
      <c r="P95" s="30">
        <f>CdTrp1!J77</f>
        <v>0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0</v>
      </c>
      <c r="W96" s="30">
        <f>CdTrp1!Q78</f>
        <v>0</v>
      </c>
      <c r="X96" s="30">
        <f>CdTrp1!R78</f>
        <v>0</v>
      </c>
      <c r="Y96" s="30">
        <f>CdTrp1!S78</f>
        <v>0</v>
      </c>
      <c r="Z96" s="30">
        <f>CdTrp1!T78</f>
        <v>0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0</v>
      </c>
      <c r="D98" s="172">
        <f>C98</f>
        <v>0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3</v>
      </c>
      <c r="AZ98" s="172">
        <f>IF(CdTrp1!F52=1,3,IF(CdTrp1!F52=0.5,2,IF(CdTrp1!F52=0,1,0)))</f>
        <v>3</v>
      </c>
      <c r="BA98" s="172">
        <f>IF(CdTrp1!G52=1,3,IF(CdTrp1!G52=0.5,2,IF(CdTrp1!G52=0,1,0)))</f>
        <v>3</v>
      </c>
      <c r="BB98" s="172">
        <f>IF(CdTrp1!H52=1,3,IF(CdTrp1!H52=0.5,2,IF(CdTrp1!H52=0,1,0)))</f>
        <v>3</v>
      </c>
      <c r="BC98" s="172">
        <f>IF(CdTrp1!I52=1,3,IF(CdTrp1!I52=0.5,2,IF(CdTrp1!I52=0,1,0)))</f>
        <v>3</v>
      </c>
      <c r="BD98" s="172">
        <f>IF(CdTrp1!J52=1,3,IF(CdTrp1!J52=0.5,2,IF(CdTrp1!J52=0,1,0)))</f>
        <v>3</v>
      </c>
      <c r="BE98" s="172">
        <f>IF(CdTrp1!K52=1,3,IF(CdTrp1!K52=0.5,2,IF(CdTrp1!K52=0,1,0)))</f>
        <v>3</v>
      </c>
      <c r="BF98" s="172">
        <f>IF(CdTrp1!L52=1,3,IF(CdTrp1!L52=0.5,2,IF(CdTrp1!L52=0,1,0)))</f>
        <v>3</v>
      </c>
      <c r="BG98" s="172">
        <f>IF(CdTrp1!M52=1,3,IF(CdTrp1!M52=0.5,2,IF(CdTrp1!M52=0,1,0)))</f>
        <v>3</v>
      </c>
      <c r="BH98" s="172">
        <f>IF(CdTrp1!N52=1,3,IF(CdTrp1!N52=0.5,2,IF(CdTrp1!N52=0,1,0)))</f>
        <v>3</v>
      </c>
      <c r="BI98" s="172">
        <f>IF(CdTrp1!O52=1,3,IF(CdTrp1!O52=0.5,2,IF(CdTrp1!O52=0,1,0)))</f>
        <v>3</v>
      </c>
      <c r="BJ98" s="172">
        <f>IF(CdTrp1!P52=1,3,IF(CdTrp1!P52=0.5,2,IF(CdTrp1!P52=0,1,0)))</f>
        <v>3</v>
      </c>
      <c r="BK98" s="172">
        <f>IF(CdTrp1!Q52=1,3,IF(CdTrp1!Q52=0.5,2,IF(CdTrp1!Q52=0,1,0)))</f>
        <v>3</v>
      </c>
      <c r="BL98" s="172">
        <f>IF(CdTrp1!R52=1,3,IF(CdTrp1!R52=0.5,2,IF(CdTrp1!R52=0,1,0)))</f>
        <v>3</v>
      </c>
      <c r="BM98" s="172">
        <f>IF(CdTrp1!S52=1,3,IF(CdTrp1!S52=0.5,2,IF(CdTrp1!S52=0,1,0)))</f>
        <v>3</v>
      </c>
      <c r="BN98" s="172">
        <f>IF(CdTrp1!T52=1,3,IF(CdTrp1!T52=0.5,2,IF(CdTrp1!T52=0,1,0)))</f>
        <v>3</v>
      </c>
      <c r="BO98" s="172">
        <f>IF(CdTrp1!U52=1,3,IF(CdTrp1!U52=0.5,2,IF(CdTrp1!U52=0,1,0)))</f>
        <v>3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3</v>
      </c>
      <c r="CI98" s="172">
        <f>IF(CdTrp2!I52=1,3,IF(CdTrp2!I52=0.5,2,IF(CdTrp2!I52=0,1,0)))</f>
        <v>3</v>
      </c>
      <c r="CJ98" s="172">
        <f>IF(CdTrp2!J52=1,3,IF(CdTrp2!J52=0.5,2,IF(CdTrp2!J52=0,1,0)))</f>
        <v>3</v>
      </c>
      <c r="CK98" s="172">
        <f>IF(CdTrp2!K52=1,3,IF(CdTrp2!K52=0.5,2,IF(CdTrp2!K52=0,1,0)))</f>
        <v>3</v>
      </c>
      <c r="CL98" s="172">
        <f>IF(CdTrp2!L52=1,3,IF(CdTrp2!L52=0.5,2,IF(CdTrp2!L52=0,1,0)))</f>
        <v>3</v>
      </c>
      <c r="CM98" s="172">
        <f>IF(CdTrp2!M52=1,3,IF(CdTrp2!M52=0.5,2,IF(CdTrp2!M52=0,1,0)))</f>
        <v>3</v>
      </c>
      <c r="CN98" s="172">
        <f>IF(CdTrp2!N52=1,3,IF(CdTrp2!N52=0.5,2,IF(CdTrp2!N52=0,1,0)))</f>
        <v>3</v>
      </c>
      <c r="CO98" s="172">
        <f>IF(CdTrp2!O52=1,3,IF(CdTrp2!O52=0.5,2,IF(CdTrp2!O52=0,1,0)))</f>
        <v>3</v>
      </c>
      <c r="CP98" s="172">
        <f>IF(CdTrp2!P52=1,3,IF(CdTrp2!P52=0.5,2,IF(CdTrp2!P52=0,1,0)))</f>
        <v>3</v>
      </c>
      <c r="CQ98" s="172">
        <f>IF(CdTrp2!Q52=1,3,IF(CdTrp2!Q52=0.5,2,IF(CdTrp2!Q52=0,1,0)))</f>
        <v>3</v>
      </c>
      <c r="CR98" s="172">
        <f>IF(CdTrp2!R52=1,3,IF(CdTrp2!R52=0.5,2,IF(CdTrp2!R52=0,1,0)))</f>
        <v>3</v>
      </c>
      <c r="CS98" s="172">
        <f>IF(CdTrp2!S52=1,3,IF(CdTrp2!S52=0.5,2,IF(CdTrp2!S52=0,1,0)))</f>
        <v>3</v>
      </c>
      <c r="CT98" s="172">
        <f>IF(CdTrp2!T52=1,3,IF(CdTrp2!T52=0.5,2,IF(CdTrp2!T52=0,1,0)))</f>
        <v>3</v>
      </c>
      <c r="CU98" s="172">
        <f>IF(CdTrp2!U52=1,3,IF(CdTrp2!U52=0.5,2,IF(CdTrp2!U52=0,1,0)))</f>
        <v>3</v>
      </c>
      <c r="CV98" s="172">
        <f>IF(CdTrp2!V52=1,3,IF(CdTrp2!V52=0.5,2,IF(CdTrp2!V52=0,1,0)))</f>
        <v>3</v>
      </c>
      <c r="CW98" s="172">
        <f>IF(CdTrp2!W52=1,3,IF(CdTrp2!W52=0.5,2,IF(CdTrp2!W52=0,1,0)))</f>
        <v>3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0</v>
      </c>
      <c r="D99" s="172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3</v>
      </c>
      <c r="AW99" s="172">
        <f>IF(CdTrp1!C53=1,3,IF(CdTrp1!C53=0.5,2,IF(CdTrp1!C53=0,1,0)))</f>
        <v>3</v>
      </c>
      <c r="AX99" s="172">
        <f>IF(CdTrp1!D53=1,3,IF(CdTrp1!D53=0.5,2,IF(CdTrp1!D53=0,1,0)))</f>
        <v>3</v>
      </c>
      <c r="AY99" s="172">
        <f>IF(CdTrp1!E53=1,3,IF(CdTrp1!E53=0.5,2,IF(CdTrp1!E53=0,1,0)))</f>
        <v>3</v>
      </c>
      <c r="AZ99" s="172">
        <f>IF(CdTrp1!F53=1,3,IF(CdTrp1!F53=0.5,2,IF(CdTrp1!F53=0,1,0)))</f>
        <v>3</v>
      </c>
      <c r="BA99" s="172">
        <f>IF(CdTrp1!G53=1,3,IF(CdTrp1!G53=0.5,2,IF(CdTrp1!G53=0,1,0)))</f>
        <v>3</v>
      </c>
      <c r="BB99" s="172">
        <f>IF(CdTrp1!H53=1,3,IF(CdTrp1!H53=0.5,2,IF(CdTrp1!H53=0,1,0)))</f>
        <v>3</v>
      </c>
      <c r="BC99" s="172">
        <f>IF(CdTrp1!I53=1,3,IF(CdTrp1!I53=0.5,2,IF(CdTrp1!I53=0,1,0)))</f>
        <v>3</v>
      </c>
      <c r="BD99" s="172">
        <f>IF(CdTrp1!J53=1,3,IF(CdTrp1!J53=0.5,2,IF(CdTrp1!J53=0,1,0)))</f>
        <v>3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3</v>
      </c>
      <c r="BP99" s="172">
        <f>IF(CdTrp1!V53=1,3,IF(CdTrp1!V53=0.5,2,IF(CdTrp1!V53=0,1,0)))</f>
        <v>3</v>
      </c>
      <c r="BQ99" s="172">
        <f>IF(CdTrp1!W53=1,3,IF(CdTrp1!W53=0.5,2,IF(CdTrp1!W53=0,1,0)))</f>
        <v>3</v>
      </c>
      <c r="BR99" s="172">
        <f>IF(CdTrp1!X53=1,3,IF(CdTrp1!X53=0.5,2,IF(CdTrp1!X53=0,1,0)))</f>
        <v>3</v>
      </c>
      <c r="BS99" s="172">
        <f>IF(CdTrp1!Y53=1,3,IF(CdTrp1!Y53=0.5,2,IF(CdTrp1!Y53=0,1,0)))</f>
        <v>3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3</v>
      </c>
      <c r="CH99" s="172">
        <f>IF(CdTrp2!H53=1,3,IF(CdTrp2!H53=0.5,2,IF(CdTrp2!H53=0,1,0)))</f>
        <v>3</v>
      </c>
      <c r="CI99" s="172">
        <f>IF(CdTrp2!I53=1,3,IF(CdTrp2!I53=0.5,2,IF(CdTrp2!I53=0,1,0)))</f>
        <v>3</v>
      </c>
      <c r="CJ99" s="172">
        <f>IF(CdTrp2!J53=1,3,IF(CdTrp2!J53=0.5,2,IF(CdTrp2!J53=0,1,0)))</f>
        <v>3</v>
      </c>
      <c r="CK99" s="172">
        <f>IF(CdTrp2!K53=1,3,IF(CdTrp2!K53=0.5,2,IF(CdTrp2!K53=0,1,0)))</f>
        <v>3</v>
      </c>
      <c r="CL99" s="172">
        <f>IF(CdTrp2!L53=1,3,IF(CdTrp2!L53=0.5,2,IF(CdTrp2!L53=0,1,0)))</f>
        <v>3</v>
      </c>
      <c r="CM99" s="172">
        <f>IF(CdTrp2!M53=1,3,IF(CdTrp2!M53=0.5,2,IF(CdTrp2!M53=0,1,0)))</f>
        <v>3</v>
      </c>
      <c r="CN99" s="172">
        <f>IF(CdTrp2!N53=1,3,IF(CdTrp2!N53=0.5,2,IF(CdTrp2!N53=0,1,0)))</f>
        <v>3</v>
      </c>
      <c r="CO99" s="172">
        <f>IF(CdTrp2!O53=1,3,IF(CdTrp2!O53=0.5,2,IF(CdTrp2!O53=0,1,0)))</f>
        <v>3</v>
      </c>
      <c r="CP99" s="172">
        <f>IF(CdTrp2!P53=1,3,IF(CdTrp2!P53=0.5,2,IF(CdTrp2!P53=0,1,0)))</f>
        <v>3</v>
      </c>
      <c r="CQ99" s="172">
        <f>IF(CdTrp2!Q53=1,3,IF(CdTrp2!Q53=0.5,2,IF(CdTrp2!Q53=0,1,0)))</f>
        <v>3</v>
      </c>
      <c r="CR99" s="172">
        <f>IF(CdTrp2!R53=1,3,IF(CdTrp2!R53=0.5,2,IF(CdTrp2!R53=0,1,0)))</f>
        <v>3</v>
      </c>
      <c r="CS99" s="172">
        <f>IF(CdTrp2!S53=1,3,IF(CdTrp2!S53=0.5,2,IF(CdTrp2!S53=0,1,0)))</f>
        <v>3</v>
      </c>
      <c r="CT99" s="172">
        <f>IF(CdTrp2!T53=1,3,IF(CdTrp2!T53=0.5,2,IF(CdTrp2!T53=0,1,0)))</f>
        <v>3</v>
      </c>
      <c r="CU99" s="172">
        <f>IF(CdTrp2!U53=1,3,IF(CdTrp2!U53=0.5,2,IF(CdTrp2!U53=0,1,0)))</f>
        <v>3</v>
      </c>
      <c r="CV99" s="172">
        <f>IF(CdTrp2!V53=1,3,IF(CdTrp2!V53=0.5,2,IF(CdTrp2!V53=0,1,0)))</f>
        <v>3</v>
      </c>
      <c r="CW99" s="172">
        <f>IF(CdTrp2!W53=1,3,IF(CdTrp2!W53=0.5,2,IF(CdTrp2!W53=0,1,0)))</f>
        <v>3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3</v>
      </c>
      <c r="BB100" s="172">
        <f>IF(CdTrp1!H54=1,3,IF(CdTrp1!H54=0.5,2,IF(CdTrp1!H54=0,1,0)))</f>
        <v>3</v>
      </c>
      <c r="BC100" s="172">
        <f>IF(CdTrp1!I54=1,3,IF(CdTrp1!I54=0.5,2,IF(CdTrp1!I54=0,1,0)))</f>
        <v>3</v>
      </c>
      <c r="BD100" s="172">
        <f>IF(CdTrp1!J54=1,3,IF(CdTrp1!J54=0.5,2,IF(CdTrp1!J54=0,1,0)))</f>
        <v>3</v>
      </c>
      <c r="BE100" s="172">
        <f>IF(CdTrp1!K54=1,3,IF(CdTrp1!K54=0.5,2,IF(CdTrp1!K54=0,1,0)))</f>
        <v>3</v>
      </c>
      <c r="BF100" s="172">
        <f>IF(CdTrp1!L54=1,3,IF(CdTrp1!L54=0.5,2,IF(CdTrp1!L54=0,1,0)))</f>
        <v>3</v>
      </c>
      <c r="BG100" s="172">
        <f>IF(CdTrp1!M54=1,3,IF(CdTrp1!M54=0.5,2,IF(CdTrp1!M54=0,1,0)))</f>
        <v>3</v>
      </c>
      <c r="BH100" s="172">
        <f>IF(CdTrp1!N54=1,3,IF(CdTrp1!N54=0.5,2,IF(CdTrp1!N54=0,1,0)))</f>
        <v>3</v>
      </c>
      <c r="BI100" s="172">
        <f>IF(CdTrp1!O54=1,3,IF(CdTrp1!O54=0.5,2,IF(CdTrp1!O54=0,1,0)))</f>
        <v>3</v>
      </c>
      <c r="BJ100" s="172">
        <f>IF(CdTrp1!P54=1,3,IF(CdTrp1!P54=0.5,2,IF(CdTrp1!P54=0,1,0)))</f>
        <v>3</v>
      </c>
      <c r="BK100" s="172">
        <f>IF(CdTrp1!Q54=1,3,IF(CdTrp1!Q54=0.5,2,IF(CdTrp1!Q54=0,1,0)))</f>
        <v>3</v>
      </c>
      <c r="BL100" s="172">
        <f>IF(CdTrp1!R54=1,3,IF(CdTrp1!R54=0.5,2,IF(CdTrp1!R54=0,1,0)))</f>
        <v>3</v>
      </c>
      <c r="BM100" s="172">
        <f>IF(CdTrp1!S54=1,3,IF(CdTrp1!S54=0.5,2,IF(CdTrp1!S54=0,1,0)))</f>
        <v>3</v>
      </c>
      <c r="BN100" s="172">
        <f>IF(CdTrp1!T54=1,3,IF(CdTrp1!T54=0.5,2,IF(CdTrp1!T54=0,1,0)))</f>
        <v>3</v>
      </c>
      <c r="BO100" s="172">
        <f>IF(CdTrp1!U54=1,3,IF(CdTrp1!U54=0.5,2,IF(CdTrp1!U54=0,1,0)))</f>
        <v>3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3</v>
      </c>
      <c r="CG100" s="172">
        <f>IF(CdTrp2!G54=1,3,IF(CdTrp2!G54=0.5,2,IF(CdTrp2!G54=0,1,0)))</f>
        <v>3</v>
      </c>
      <c r="CH100" s="172">
        <f>IF(CdTrp2!H54=1,3,IF(CdTrp2!H54=0.5,2,IF(CdTrp2!H54=0,1,0)))</f>
        <v>3</v>
      </c>
      <c r="CI100" s="172">
        <f>IF(CdTrp2!I54=1,3,IF(CdTrp2!I54=0.5,2,IF(CdTrp2!I54=0,1,0)))</f>
        <v>3</v>
      </c>
      <c r="CJ100" s="172">
        <f>IF(CdTrp2!J54=1,3,IF(CdTrp2!J54=0.5,2,IF(CdTrp2!J54=0,1,0)))</f>
        <v>3</v>
      </c>
      <c r="CK100" s="172">
        <f>IF(CdTrp2!K54=1,3,IF(CdTrp2!K54=0.5,2,IF(CdTrp2!K54=0,1,0)))</f>
        <v>3</v>
      </c>
      <c r="CL100" s="172">
        <f>IF(CdTrp2!L54=1,3,IF(CdTrp2!L54=0.5,2,IF(CdTrp2!L54=0,1,0)))</f>
        <v>3</v>
      </c>
      <c r="CM100" s="172">
        <f>IF(CdTrp2!M54=1,3,IF(CdTrp2!M54=0.5,2,IF(CdTrp2!M54=0,1,0)))</f>
        <v>3</v>
      </c>
      <c r="CN100" s="172">
        <f>IF(CdTrp2!N54=1,3,IF(CdTrp2!N54=0.5,2,IF(CdTrp2!N54=0,1,0)))</f>
        <v>3</v>
      </c>
      <c r="CO100" s="172">
        <f>IF(CdTrp2!O54=1,3,IF(CdTrp2!O54=0.5,2,IF(CdTrp2!O54=0,1,0)))</f>
        <v>3</v>
      </c>
      <c r="CP100" s="172">
        <f>IF(CdTrp2!P54=1,3,IF(CdTrp2!P54=0.5,2,IF(CdTrp2!P54=0,1,0)))</f>
        <v>3</v>
      </c>
      <c r="CQ100" s="172">
        <f>IF(CdTrp2!Q54=1,3,IF(CdTrp2!Q54=0.5,2,IF(CdTrp2!Q54=0,1,0)))</f>
        <v>3</v>
      </c>
      <c r="CR100" s="172">
        <f>IF(CdTrp2!R54=1,3,IF(CdTrp2!R54=0.5,2,IF(CdTrp2!R54=0,1,0)))</f>
        <v>3</v>
      </c>
      <c r="CS100" s="172">
        <f>IF(CdTrp2!S54=1,3,IF(CdTrp2!S54=0.5,2,IF(CdTrp2!S54=0,1,0)))</f>
        <v>3</v>
      </c>
      <c r="CT100" s="172">
        <f>IF(CdTrp2!T54=1,3,IF(CdTrp2!T54=0.5,2,IF(CdTrp2!T54=0,1,0)))</f>
        <v>3</v>
      </c>
      <c r="CU100" s="172">
        <f>IF(CdTrp2!U54=1,3,IF(CdTrp2!U54=0.5,2,IF(CdTrp2!U54=0,1,0)))</f>
        <v>3</v>
      </c>
      <c r="CV100" s="172">
        <f>IF(CdTrp2!V54=1,3,IF(CdTrp2!V54=0.5,2,IF(CdTrp2!V54=0,1,0)))</f>
        <v>3</v>
      </c>
      <c r="CW100" s="172">
        <f>IF(CdTrp2!W54=1,3,IF(CdTrp2!W54=0.5,2,IF(CdTrp2!W54=0,1,0)))</f>
        <v>3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0</v>
      </c>
      <c r="D101" s="172">
        <f t="shared" si="25"/>
        <v>0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3</v>
      </c>
      <c r="AW101" s="172">
        <f>IF(CdTrp1!C55=1,3,IF(CdTrp1!C55=0.5,2,IF(CdTrp1!C55=0,1,0)))</f>
        <v>3</v>
      </c>
      <c r="AX101" s="172">
        <f>IF(CdTrp1!D55=1,3,IF(CdTrp1!D55=0.5,2,IF(CdTrp1!D55=0,1,0)))</f>
        <v>3</v>
      </c>
      <c r="AY101" s="172">
        <f>IF(CdTrp1!E55=1,3,IF(CdTrp1!E55=0.5,2,IF(CdTrp1!E55=0,1,0)))</f>
        <v>3</v>
      </c>
      <c r="AZ101" s="172">
        <f>IF(CdTrp1!F55=1,3,IF(CdTrp1!F55=0.5,2,IF(CdTrp1!F55=0,1,0)))</f>
        <v>3</v>
      </c>
      <c r="BA101" s="172">
        <f>IF(CdTrp1!G55=1,3,IF(CdTrp1!G55=0.5,2,IF(CdTrp1!G55=0,1,0)))</f>
        <v>3</v>
      </c>
      <c r="BB101" s="172">
        <f>IF(CdTrp1!H55=1,3,IF(CdTrp1!H55=0.5,2,IF(CdTrp1!H55=0,1,0)))</f>
        <v>3</v>
      </c>
      <c r="BC101" s="172">
        <f>IF(CdTrp1!I55=1,3,IF(CdTrp1!I55=0.5,2,IF(CdTrp1!I55=0,1,0)))</f>
        <v>3</v>
      </c>
      <c r="BD101" s="172">
        <f>IF(CdTrp1!J55=1,3,IF(CdTrp1!J55=0.5,2,IF(CdTrp1!J55=0,1,0)))</f>
        <v>3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3</v>
      </c>
      <c r="BP101" s="172">
        <f>IF(CdTrp1!V55=1,3,IF(CdTrp1!V55=0.5,2,IF(CdTrp1!V55=0,1,0)))</f>
        <v>3</v>
      </c>
      <c r="BQ101" s="172">
        <f>IF(CdTrp1!W55=1,3,IF(CdTrp1!W55=0.5,2,IF(CdTrp1!W55=0,1,0)))</f>
        <v>3</v>
      </c>
      <c r="BR101" s="172">
        <f>IF(CdTrp1!X55=1,3,IF(CdTrp1!X55=0.5,2,IF(CdTrp1!X55=0,1,0)))</f>
        <v>3</v>
      </c>
      <c r="BS101" s="172">
        <f>IF(CdTrp1!Y55=1,3,IF(CdTrp1!Y55=0.5,2,IF(CdTrp1!Y55=0,1,0)))</f>
        <v>3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0</v>
      </c>
      <c r="D102" s="172">
        <f t="shared" si="25"/>
        <v>0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0</v>
      </c>
      <c r="D103" s="172">
        <f t="shared" si="25"/>
        <v>0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0</v>
      </c>
      <c r="D105" s="172">
        <f t="shared" si="25"/>
        <v>0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0</v>
      </c>
      <c r="D106" s="172">
        <f t="shared" si="25"/>
        <v>0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0</v>
      </c>
      <c r="D107" s="172">
        <f t="shared" si="25"/>
        <v>0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0</v>
      </c>
      <c r="D109" s="172">
        <f t="shared" si="25"/>
        <v>0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0</v>
      </c>
      <c r="BB109" s="172">
        <f>IF(CdTrp1!H76=1,1,IF(CdTrp1!H76=2,2,IF(CdTrp1!H76=3,2,IF(CdTrp1!H76=4,4,0))))</f>
        <v>0</v>
      </c>
      <c r="BC109" s="172">
        <f>IF(CdTrp1!I76=1,1,IF(CdTrp1!I76=2,2,IF(CdTrp1!I76=3,2,IF(CdTrp1!I76=4,4,0))))</f>
        <v>0</v>
      </c>
      <c r="BD109" s="172">
        <f>IF(CdTrp1!J76=1,1,IF(CdTrp1!J76=2,2,IF(CdTrp1!J76=3,2,IF(CdTrp1!J76=4,4,0))))</f>
        <v>0</v>
      </c>
      <c r="BE109" s="172">
        <f>IF(CdTrp1!K76=1,1,IF(CdTrp1!K76=2,2,IF(CdTrp1!K76=3,2,IF(CdTrp1!K76=4,4,0))))</f>
        <v>0</v>
      </c>
      <c r="BF109" s="172">
        <f>IF(CdTrp1!L76=1,1,IF(CdTrp1!L76=2,2,IF(CdTrp1!L76=3,2,IF(CdTrp1!L76=4,4,0))))</f>
        <v>0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0</v>
      </c>
      <c r="BO109" s="172">
        <f>IF(CdTrp1!U76=1,1,IF(CdTrp1!U76=2,2,IF(CdTrp1!U76=3,2,IF(CdTrp1!U76=4,4,0))))</f>
        <v>0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0</v>
      </c>
      <c r="CK109" s="172">
        <f>IF(CdTrp2!K76=1,1,IF(CdTrp2!K76=2,2,IF(CdTrp2!K76=3,2,IF(CdTrp2!K76=4,4,0))))</f>
        <v>0</v>
      </c>
      <c r="CL109" s="172">
        <f>IF(CdTrp2!L76=1,1,IF(CdTrp2!L76=2,2,IF(CdTrp2!L76=3,2,IF(CdTrp2!L76=4,4,0))))</f>
        <v>0</v>
      </c>
      <c r="CM109" s="172">
        <f>IF(CdTrp2!M76=1,1,IF(CdTrp2!M76=2,2,IF(CdTrp2!M76=3,2,IF(CdTrp2!M76=4,4,0))))</f>
        <v>0</v>
      </c>
      <c r="CN109" s="172">
        <f>IF(CdTrp2!N76=1,1,IF(CdTrp2!N76=2,2,IF(CdTrp2!N76=3,2,IF(CdTrp2!N76=4,4,0))))</f>
        <v>0</v>
      </c>
      <c r="CO109" s="172">
        <f>IF(CdTrp2!O76=1,1,IF(CdTrp2!O76=2,2,IF(CdTrp2!O76=3,2,IF(CdTrp2!O76=4,4,0))))</f>
        <v>0</v>
      </c>
      <c r="CP109" s="172">
        <f>IF(CdTrp2!P76=1,1,IF(CdTrp2!P76=2,2,IF(CdTrp2!P76=3,2,IF(CdTrp2!P76=4,4,0))))</f>
        <v>0</v>
      </c>
      <c r="CQ109" s="172">
        <f>IF(CdTrp2!Q76=1,1,IF(CdTrp2!Q76=2,2,IF(CdTrp2!Q76=3,2,IF(CdTrp2!Q76=4,4,0))))</f>
        <v>0</v>
      </c>
      <c r="CR109" s="172">
        <f>IF(CdTrp2!R76=1,1,IF(CdTrp2!R76=2,2,IF(CdTrp2!R76=3,2,IF(CdTrp2!R76=4,4,0))))</f>
        <v>0</v>
      </c>
      <c r="CS109" s="172">
        <f>IF(CdTrp2!S76=1,1,IF(CdTrp2!S76=2,2,IF(CdTrp2!S76=3,2,IF(CdTrp2!S76=4,4,0))))</f>
        <v>0</v>
      </c>
      <c r="CT109" s="172">
        <f>IF(CdTrp2!T76=1,1,IF(CdTrp2!T76=2,2,IF(CdTrp2!T76=3,2,IF(CdTrp2!T76=4,4,0))))</f>
        <v>0</v>
      </c>
      <c r="CU109" s="172">
        <f>IF(CdTrp2!U76=1,1,IF(CdTrp2!U76=2,2,IF(CdTrp2!U76=3,2,IF(CdTrp2!U76=4,4,0))))</f>
        <v>0</v>
      </c>
      <c r="CV109" s="172">
        <f>IF(CdTrp2!V76=1,1,IF(CdTrp2!V76=2,2,IF(CdTrp2!V76=3,2,IF(CdTrp2!V76=4,4,0))))</f>
        <v>0</v>
      </c>
      <c r="CW109" s="172">
        <f>IF(CdTrp2!W76=1,1,IF(CdTrp2!W76=2,2,IF(CdTrp2!W76=3,2,IF(CdTrp2!W76=4,4,0))))</f>
        <v>0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0</v>
      </c>
      <c r="D110" s="172">
        <f t="shared" si="25"/>
        <v>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0</v>
      </c>
      <c r="AW110" s="172">
        <f>IF(CdTrp1!C77=1,1,IF(CdTrp1!C77=2,2,IF(CdTrp1!C77=3,2,IF(CdTrp1!C77=4,4,0))))</f>
        <v>0</v>
      </c>
      <c r="AX110" s="172">
        <f>IF(CdTrp1!D77=1,1,IF(CdTrp1!D77=2,2,IF(CdTrp1!D77=3,2,IF(CdTrp1!D77=4,4,0))))</f>
        <v>0</v>
      </c>
      <c r="AY110" s="172">
        <f>IF(CdTrp1!E77=1,1,IF(CdTrp1!E77=2,2,IF(CdTrp1!E77=3,2,IF(CdTrp1!E77=4,4,0))))</f>
        <v>0</v>
      </c>
      <c r="AZ110" s="172">
        <f>IF(CdTrp1!F77=1,1,IF(CdTrp1!F77=2,2,IF(CdTrp1!F77=3,2,IF(CdTrp1!F77=4,4,0))))</f>
        <v>0</v>
      </c>
      <c r="BA110" s="172">
        <f>IF(CdTrp1!G77=1,1,IF(CdTrp1!G77=2,2,IF(CdTrp1!G77=3,2,IF(CdTrp1!G77=4,4,0))))</f>
        <v>0</v>
      </c>
      <c r="BB110" s="172">
        <f>IF(CdTrp1!H77=1,1,IF(CdTrp1!H77=2,2,IF(CdTrp1!H77=3,2,IF(CdTrp1!H77=4,4,0))))</f>
        <v>0</v>
      </c>
      <c r="BC110" s="172">
        <f>IF(CdTrp1!I77=1,1,IF(CdTrp1!I77=2,2,IF(CdTrp1!I77=3,2,IF(CdTrp1!I77=4,4,0))))</f>
        <v>0</v>
      </c>
      <c r="BD110" s="172">
        <f>IF(CdTrp1!J77=1,1,IF(CdTrp1!J77=2,2,IF(CdTrp1!J77=3,2,IF(CdTrp1!J77=4,4,0))))</f>
        <v>0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0</v>
      </c>
      <c r="BP110" s="172">
        <f>IF(CdTrp1!V77=1,1,IF(CdTrp1!V77=2,2,IF(CdTrp1!V77=3,2,IF(CdTrp1!V77=4,4,0))))</f>
        <v>0</v>
      </c>
      <c r="BQ110" s="172">
        <f>IF(CdTrp1!W77=1,1,IF(CdTrp1!W77=2,2,IF(CdTrp1!W77=3,2,IF(CdTrp1!W77=4,4,0))))</f>
        <v>0</v>
      </c>
      <c r="BR110" s="172">
        <f>IF(CdTrp1!X77=1,1,IF(CdTrp1!X77=2,2,IF(CdTrp1!X77=3,2,IF(CdTrp1!X77=4,4,0))))</f>
        <v>0</v>
      </c>
      <c r="BS110" s="172">
        <f>IF(CdTrp1!Y77=1,1,IF(CdTrp1!Y77=2,2,IF(CdTrp1!Y77=3,2,IF(CdTrp1!Y77=4,4,0))))</f>
        <v>0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0</v>
      </c>
      <c r="CK110" s="172">
        <f>IF(CdTrp2!K77=1,1,IF(CdTrp2!K77=2,2,IF(CdTrp2!K77=3,2,IF(CdTrp2!K77=4,4,0))))</f>
        <v>0</v>
      </c>
      <c r="CL110" s="172">
        <f>IF(CdTrp2!L77=1,1,IF(CdTrp2!L77=2,2,IF(CdTrp2!L77=3,2,IF(CdTrp2!L77=4,4,0))))</f>
        <v>0</v>
      </c>
      <c r="CM110" s="172">
        <f>IF(CdTrp2!M77=1,1,IF(CdTrp2!M77=2,2,IF(CdTrp2!M77=3,2,IF(CdTrp2!M77=4,4,0))))</f>
        <v>0</v>
      </c>
      <c r="CN110" s="172">
        <f>IF(CdTrp2!N77=1,1,IF(CdTrp2!N77=2,2,IF(CdTrp2!N77=3,2,IF(CdTrp2!N77=4,4,0))))</f>
        <v>0</v>
      </c>
      <c r="CO110" s="172">
        <f>IF(CdTrp2!O77=1,1,IF(CdTrp2!O77=2,2,IF(CdTrp2!O77=3,2,IF(CdTrp2!O77=4,4,0))))</f>
        <v>0</v>
      </c>
      <c r="CP110" s="172">
        <f>IF(CdTrp2!P77=1,1,IF(CdTrp2!P77=2,2,IF(CdTrp2!P77=3,2,IF(CdTrp2!P77=4,4,0))))</f>
        <v>0</v>
      </c>
      <c r="CQ110" s="172">
        <f>IF(CdTrp2!Q77=1,1,IF(CdTrp2!Q77=2,2,IF(CdTrp2!Q77=3,2,IF(CdTrp2!Q77=4,4,0))))</f>
        <v>0</v>
      </c>
      <c r="CR110" s="172">
        <f>IF(CdTrp2!R77=1,1,IF(CdTrp2!R77=2,2,IF(CdTrp2!R77=3,2,IF(CdTrp2!R77=4,4,0))))</f>
        <v>0</v>
      </c>
      <c r="CS110" s="172">
        <f>IF(CdTrp2!S77=1,1,IF(CdTrp2!S77=2,2,IF(CdTrp2!S77=3,2,IF(CdTrp2!S77=4,4,0))))</f>
        <v>0</v>
      </c>
      <c r="CT110" s="172">
        <f>IF(CdTrp2!T77=1,1,IF(CdTrp2!T77=2,2,IF(CdTrp2!T77=3,2,IF(CdTrp2!T77=4,4,0))))</f>
        <v>0</v>
      </c>
      <c r="CU110" s="172">
        <f>IF(CdTrp2!U77=1,1,IF(CdTrp2!U77=2,2,IF(CdTrp2!U77=3,2,IF(CdTrp2!U77=4,4,0))))</f>
        <v>0</v>
      </c>
      <c r="CV110" s="172">
        <f>IF(CdTrp2!V77=1,1,IF(CdTrp2!V77=2,2,IF(CdTrp2!V77=3,2,IF(CdTrp2!V77=4,4,0))))</f>
        <v>0</v>
      </c>
      <c r="CW110" s="172">
        <f>IF(CdTrp2!W77=1,1,IF(CdTrp2!W77=2,2,IF(CdTrp2!W77=3,2,IF(CdTrp2!W77=4,4,0))))</f>
        <v>0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0</v>
      </c>
      <c r="D111" s="172">
        <f t="shared" si="25"/>
        <v>0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0</v>
      </c>
      <c r="BB111" s="172">
        <f>IF(CdTrp1!H78=1,1,IF(CdTrp1!H78=2,2,IF(CdTrp1!H78=3,2,IF(CdTrp1!H78=4,4,0))))</f>
        <v>0</v>
      </c>
      <c r="BC111" s="172">
        <f>IF(CdTrp1!I78=1,1,IF(CdTrp1!I78=2,2,IF(CdTrp1!I78=3,2,IF(CdTrp1!I78=4,4,0))))</f>
        <v>0</v>
      </c>
      <c r="BD111" s="172">
        <f>IF(CdTrp1!J78=1,1,IF(CdTrp1!J78=2,2,IF(CdTrp1!J78=3,2,IF(CdTrp1!J78=4,4,0))))</f>
        <v>0</v>
      </c>
      <c r="BE111" s="172">
        <f>IF(CdTrp1!K78=1,1,IF(CdTrp1!K78=2,2,IF(CdTrp1!K78=3,2,IF(CdTrp1!K78=4,4,0))))</f>
        <v>0</v>
      </c>
      <c r="BF111" s="172">
        <f>IF(CdTrp1!L78=1,1,IF(CdTrp1!L78=2,2,IF(CdTrp1!L78=3,2,IF(CdTrp1!L78=4,4,0))))</f>
        <v>0</v>
      </c>
      <c r="BG111" s="172">
        <f>IF(CdTrp1!M78=1,1,IF(CdTrp1!M78=2,2,IF(CdTrp1!M78=3,2,IF(CdTrp1!M78=4,4,0))))</f>
        <v>0</v>
      </c>
      <c r="BH111" s="172">
        <f>IF(CdTrp1!N78=1,1,IF(CdTrp1!N78=2,2,IF(CdTrp1!N78=3,2,IF(CdTrp1!N78=4,4,0))))</f>
        <v>0</v>
      </c>
      <c r="BI111" s="172">
        <f>IF(CdTrp1!O78=1,1,IF(CdTrp1!O78=2,2,IF(CdTrp1!O78=3,2,IF(CdTrp1!O78=4,4,0))))</f>
        <v>0</v>
      </c>
      <c r="BJ111" s="172">
        <f>IF(CdTrp1!P78=1,1,IF(CdTrp1!P78=2,2,IF(CdTrp1!P78=3,2,IF(CdTrp1!P78=4,4,0))))</f>
        <v>0</v>
      </c>
      <c r="BK111" s="172">
        <f>IF(CdTrp1!Q78=1,1,IF(CdTrp1!Q78=2,2,IF(CdTrp1!Q78=3,2,IF(CdTrp1!Q78=4,4,0))))</f>
        <v>0</v>
      </c>
      <c r="BL111" s="172">
        <f>IF(CdTrp1!R78=1,1,IF(CdTrp1!R78=2,2,IF(CdTrp1!R78=3,2,IF(CdTrp1!R78=4,4,0))))</f>
        <v>0</v>
      </c>
      <c r="BM111" s="172">
        <f>IF(CdTrp1!S78=1,1,IF(CdTrp1!S78=2,2,IF(CdTrp1!S78=3,2,IF(CdTrp1!S78=4,4,0))))</f>
        <v>0</v>
      </c>
      <c r="BN111" s="172">
        <f>IF(CdTrp1!T78=1,1,IF(CdTrp1!T78=2,2,IF(CdTrp1!T78=3,2,IF(CdTrp1!T78=4,4,0))))</f>
        <v>0</v>
      </c>
      <c r="BO111" s="172">
        <f>IF(CdTrp1!U78=1,1,IF(CdTrp1!U78=2,2,IF(CdTrp1!U78=3,2,IF(CdTrp1!U78=4,4,0))))</f>
        <v>0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0</v>
      </c>
      <c r="CI111" s="172">
        <f>IF(CdTrp2!I78=1,1,IF(CdTrp2!I78=2,2,IF(CdTrp2!I78=3,2,IF(CdTrp2!I78=4,4,0))))</f>
        <v>0</v>
      </c>
      <c r="CJ111" s="172">
        <f>IF(CdTrp2!J78=1,1,IF(CdTrp2!J78=2,2,IF(CdTrp2!J78=3,2,IF(CdTrp2!J78=4,4,0))))</f>
        <v>0</v>
      </c>
      <c r="CK111" s="172">
        <f>IF(CdTrp2!K78=1,1,IF(CdTrp2!K78=2,2,IF(CdTrp2!K78=3,2,IF(CdTrp2!K78=4,4,0))))</f>
        <v>0</v>
      </c>
      <c r="CL111" s="172">
        <f>IF(CdTrp2!L78=1,1,IF(CdTrp2!L78=2,2,IF(CdTrp2!L78=3,2,IF(CdTrp2!L78=4,4,0))))</f>
        <v>0</v>
      </c>
      <c r="CM111" s="172">
        <f>IF(CdTrp2!M78=1,1,IF(CdTrp2!M78=2,2,IF(CdTrp2!M78=3,2,IF(CdTrp2!M78=4,4,0))))</f>
        <v>0</v>
      </c>
      <c r="CN111" s="172">
        <f>IF(CdTrp2!N78=1,1,IF(CdTrp2!N78=2,2,IF(CdTrp2!N78=3,2,IF(CdTrp2!N78=4,4,0))))</f>
        <v>0</v>
      </c>
      <c r="CO111" s="172">
        <f>IF(CdTrp2!O78=1,1,IF(CdTrp2!O78=2,2,IF(CdTrp2!O78=3,2,IF(CdTrp2!O78=4,4,0))))</f>
        <v>0</v>
      </c>
      <c r="CP111" s="172">
        <f>IF(CdTrp2!P78=1,1,IF(CdTrp2!P78=2,2,IF(CdTrp2!P78=3,2,IF(CdTrp2!P78=4,4,0))))</f>
        <v>0</v>
      </c>
      <c r="CQ111" s="172">
        <f>IF(CdTrp2!Q78=1,1,IF(CdTrp2!Q78=2,2,IF(CdTrp2!Q78=3,2,IF(CdTrp2!Q78=4,4,0))))</f>
        <v>0</v>
      </c>
      <c r="CR111" s="172">
        <f>IF(CdTrp2!R78=1,1,IF(CdTrp2!R78=2,2,IF(CdTrp2!R78=3,2,IF(CdTrp2!R78=4,4,0))))</f>
        <v>0</v>
      </c>
      <c r="CS111" s="172">
        <f>IF(CdTrp2!S78=1,1,IF(CdTrp2!S78=2,2,IF(CdTrp2!S78=3,2,IF(CdTrp2!S78=4,4,0))))</f>
        <v>0</v>
      </c>
      <c r="CT111" s="172">
        <f>IF(CdTrp2!T78=1,1,IF(CdTrp2!T78=2,2,IF(CdTrp2!T78=3,2,IF(CdTrp2!T78=4,4,0))))</f>
        <v>0</v>
      </c>
      <c r="CU111" s="172">
        <f>IF(CdTrp2!U78=1,1,IF(CdTrp2!U78=2,2,IF(CdTrp2!U78=3,2,IF(CdTrp2!U78=4,4,0))))</f>
        <v>0</v>
      </c>
      <c r="CV111" s="172">
        <f>IF(CdTrp2!V78=1,1,IF(CdTrp2!V78=2,2,IF(CdTrp2!V78=3,2,IF(CdTrp2!V78=4,4,0))))</f>
        <v>0</v>
      </c>
      <c r="CW111" s="172">
        <f>IF(CdTrp2!W78=1,1,IF(CdTrp2!W78=2,2,IF(CdTrp2!W78=3,2,IF(CdTrp2!W78=4,4,0))))</f>
        <v>0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0</v>
      </c>
      <c r="AW112" s="172">
        <f>IF(CdTrp1!C79=1,1,IF(CdTrp1!C79=2,2,IF(CdTrp1!C79=3,2,IF(CdTrp1!C79=4,4,0))))</f>
        <v>0</v>
      </c>
      <c r="AX112" s="172">
        <f>IF(CdTrp1!D79=1,1,IF(CdTrp1!D79=2,2,IF(CdTrp1!D79=3,2,IF(CdTrp1!D79=4,4,0))))</f>
        <v>0</v>
      </c>
      <c r="AY112" s="172">
        <f>IF(CdTrp1!E79=1,1,IF(CdTrp1!E79=2,2,IF(CdTrp1!E79=3,2,IF(CdTrp1!E79=4,4,0))))</f>
        <v>0</v>
      </c>
      <c r="AZ112" s="172">
        <f>IF(CdTrp1!F79=1,1,IF(CdTrp1!F79=2,2,IF(CdTrp1!F79=3,2,IF(CdTrp1!F79=4,4,0))))</f>
        <v>0</v>
      </c>
      <c r="BA112" s="172">
        <f>IF(CdTrp1!G79=1,1,IF(CdTrp1!G79=2,2,IF(CdTrp1!G79=3,2,IF(CdTrp1!G79=4,4,0))))</f>
        <v>0</v>
      </c>
      <c r="BB112" s="172">
        <f>IF(CdTrp1!H79=1,1,IF(CdTrp1!H79=2,2,IF(CdTrp1!H79=3,2,IF(CdTrp1!H79=4,4,0))))</f>
        <v>0</v>
      </c>
      <c r="BC112" s="172">
        <f>IF(CdTrp1!I79=1,1,IF(CdTrp1!I79=2,2,IF(CdTrp1!I79=3,2,IF(CdTrp1!I79=4,4,0))))</f>
        <v>0</v>
      </c>
      <c r="BD112" s="172">
        <f>IF(CdTrp1!J79=1,1,IF(CdTrp1!J79=2,2,IF(CdTrp1!J79=3,2,IF(CdTrp1!J79=4,4,0))))</f>
        <v>0</v>
      </c>
      <c r="BE112" s="172">
        <f>IF(CdTrp1!K79=1,1,IF(CdTrp1!K79=2,2,IF(CdTrp1!K79=3,2,IF(CdTrp1!K79=4,4,0))))</f>
        <v>0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0</v>
      </c>
      <c r="BP112" s="172">
        <f>IF(CdTrp1!V79=1,1,IF(CdTrp1!V79=2,2,IF(CdTrp1!V79=3,2,IF(CdTrp1!V79=4,4,0))))</f>
        <v>0</v>
      </c>
      <c r="BQ112" s="172">
        <f>IF(CdTrp1!W79=1,1,IF(CdTrp1!W79=2,2,IF(CdTrp1!W79=3,2,IF(CdTrp1!W79=4,4,0))))</f>
        <v>0</v>
      </c>
      <c r="BR112" s="172">
        <f>IF(CdTrp1!X79=1,1,IF(CdTrp1!X79=2,2,IF(CdTrp1!X79=3,2,IF(CdTrp1!X79=4,4,0))))</f>
        <v>0</v>
      </c>
      <c r="BS112" s="172">
        <f>IF(CdTrp1!Y79=1,1,IF(CdTrp1!Y79=2,2,IF(CdTrp1!Y79=3,2,IF(CdTrp1!Y79=4,4,0))))</f>
        <v>0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0</v>
      </c>
      <c r="D113" s="172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0</v>
      </c>
      <c r="D114" s="172">
        <f t="shared" si="25"/>
        <v>0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0</v>
      </c>
      <c r="D116" s="172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0</v>
      </c>
      <c r="D117" s="172">
        <f t="shared" si="25"/>
        <v>0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0</v>
      </c>
      <c r="AZ121" s="172">
        <f>IF(AZ75=0,0,IF(AZ98=3,0,VALUE(CONCATENATE(Travail!AZ26,Travail!AZ37,Travail!AZ48))))</f>
        <v>0</v>
      </c>
      <c r="BA121" s="172">
        <f>IF(BA75=0,0,IF(BA98=3,0,VALUE(CONCATENATE(Travail!BA26,Travail!BA37,Travail!BA48))))</f>
        <v>0</v>
      </c>
      <c r="BB121" s="172">
        <f>IF(BB75=0,0,IF(BB98=3,0,VALUE(CONCATENATE(Travail!BB26,Travail!BB37,Travail!BB48))))</f>
        <v>0</v>
      </c>
      <c r="BC121" s="172">
        <f>IF(BC75=0,0,IF(BC98=3,0,VALUE(CONCATENATE(Travail!BC26,Travail!BC37,Travail!BC48))))</f>
        <v>0</v>
      </c>
      <c r="BD121" s="172">
        <f>IF(BD75=0,0,IF(BD98=3,0,VALUE(CONCATENATE(Travail!BD26,Travail!BD37,Travail!BD48))))</f>
        <v>0</v>
      </c>
      <c r="BE121" s="172">
        <f>IF(BE75=0,0,IF(BE98=3,0,VALUE(CONCATENATE(Travail!BE26,Travail!BE37,Travail!BE48))))</f>
        <v>0</v>
      </c>
      <c r="BF121" s="172">
        <f>IF(BF75=0,0,IF(BF98=3,0,VALUE(CONCATENATE(Travail!BF26,Travail!BF37,Travail!BF48))))</f>
        <v>0</v>
      </c>
      <c r="BG121" s="172">
        <f>IF(BG75=0,0,IF(BG98=3,0,VALUE(CONCATENATE(Travail!BG26,Travail!BG37,Travail!BG48))))</f>
        <v>0</v>
      </c>
      <c r="BH121" s="172">
        <f>IF(BH75=0,0,IF(BH98=3,0,VALUE(CONCATENATE(Travail!BH26,Travail!BH37,Travail!BH48))))</f>
        <v>0</v>
      </c>
      <c r="BI121" s="172">
        <f>IF(BI75=0,0,IF(BI98=3,0,VALUE(CONCATENATE(Travail!BI26,Travail!BI37,Travail!BI48))))</f>
        <v>0</v>
      </c>
      <c r="BJ121" s="172">
        <f>IF(BJ75=0,0,IF(BJ98=3,0,VALUE(CONCATENATE(Travail!BJ26,Travail!BJ37,Travail!BJ48))))</f>
        <v>0</v>
      </c>
      <c r="BK121" s="172">
        <f>IF(BK75=0,0,IF(BK98=3,0,VALUE(CONCATENATE(Travail!BK26,Travail!BK37,Travail!BK48))))</f>
        <v>0</v>
      </c>
      <c r="BL121" s="172">
        <f>IF(BL75=0,0,IF(BL98=3,0,VALUE(CONCATENATE(Travail!BL26,Travail!BL37,Travail!BL48))))</f>
        <v>0</v>
      </c>
      <c r="BM121" s="172">
        <f>IF(BM75=0,0,IF(BM98=3,0,VALUE(CONCATENATE(Travail!BM26,Travail!BM37,Travail!BM48))))</f>
        <v>0</v>
      </c>
      <c r="BN121" s="172">
        <f>IF(BN75=0,0,IF(BN98=3,0,VALUE(CONCATENATE(Travail!BN26,Travail!BN37,Travail!BN48))))</f>
        <v>0</v>
      </c>
      <c r="BO121" s="172">
        <f>IF(BO75=0,0,IF(BO98=3,0,VALUE(CONCATENATE(Travail!BO26,Travail!BO37,Travail!BO48))))</f>
        <v>0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230</v>
      </c>
      <c r="CI121" s="172">
        <f>IF(CI75=0,0,VALUE(CONCATENATE(Travail!CI26,Travail!CI37,Travail!CI48)))</f>
        <v>230</v>
      </c>
      <c r="CJ121" s="172">
        <f>IF(CJ75=0,0,VALUE(CONCATENATE(Travail!CJ26,Travail!CJ37,Travail!CJ48)))</f>
        <v>230</v>
      </c>
      <c r="CK121" s="172">
        <f>IF(CK75=0,0,VALUE(CONCATENATE(Travail!CK26,Travail!CK37,Travail!CK48)))</f>
        <v>230</v>
      </c>
      <c r="CL121" s="172">
        <f>IF(CL75=0,0,VALUE(CONCATENATE(Travail!CL26,Travail!CL37,Travail!CL48)))</f>
        <v>230</v>
      </c>
      <c r="CM121" s="172">
        <f>IF(CM75=0,0,VALUE(CONCATENATE(Travail!CM26,Travail!CM37,Travail!CM48)))</f>
        <v>230</v>
      </c>
      <c r="CN121" s="172">
        <f>IF(CN75=0,0,VALUE(CONCATENATE(Travail!CN26,Travail!CN37,Travail!CN48)))</f>
        <v>230</v>
      </c>
      <c r="CO121" s="172">
        <f>IF(CO75=0,0,VALUE(CONCATENATE(Travail!CO26,Travail!CO37,Travail!CO48)))</f>
        <v>230</v>
      </c>
      <c r="CP121" s="172">
        <f>IF(CP75=0,0,VALUE(CONCATENATE(Travail!CP26,Travail!CP37,Travail!CP48)))</f>
        <v>230</v>
      </c>
      <c r="CQ121" s="172">
        <f>IF(CQ75=0,0,VALUE(CONCATENATE(Travail!CQ26,Travail!CQ37,Travail!CQ48)))</f>
        <v>230</v>
      </c>
      <c r="CR121" s="172">
        <f>IF(CR75=0,0,VALUE(CONCATENATE(Travail!CR26,Travail!CR37,Travail!CR48)))</f>
        <v>230</v>
      </c>
      <c r="CS121" s="172">
        <f>IF(CS75=0,0,VALUE(CONCATENATE(Travail!CS26,Travail!CS37,Travail!CS48)))</f>
        <v>230</v>
      </c>
      <c r="CT121" s="172">
        <f>IF(CT75=0,0,VALUE(CONCATENATE(Travail!CT26,Travail!CT37,Travail!CT48)))</f>
        <v>230</v>
      </c>
      <c r="CU121" s="172">
        <f>IF(CU75=0,0,VALUE(CONCATENATE(Travail!CU26,Travail!CU37,Travail!CU48)))</f>
        <v>230</v>
      </c>
      <c r="CV121" s="172">
        <f>IF(CV75=0,0,VALUE(CONCATENATE(Travail!CV26,Travail!CV37,Travail!CV48)))</f>
        <v>230</v>
      </c>
      <c r="CW121" s="172">
        <f>IF(CW75=0,0,VALUE(CONCATENATE(Travail!CW26,Travail!CW37,Travail!CW48)))</f>
        <v>230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0</v>
      </c>
      <c r="D122" s="172">
        <f t="shared" si="25"/>
        <v>0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0</v>
      </c>
      <c r="AW122" s="172">
        <f>IF(AW76=0,0,IF(AW99=3,0,VALUE(CONCATENATE(Travail!AW27,Travail!AW38,Travail!AW49))))</f>
        <v>0</v>
      </c>
      <c r="AX122" s="172">
        <f>IF(AX76=0,0,IF(AX99=3,0,VALUE(CONCATENATE(Travail!AX27,Travail!AX38,Travail!AX49))))</f>
        <v>0</v>
      </c>
      <c r="AY122" s="172">
        <f>IF(AY76=0,0,IF(AY99=3,0,VALUE(CONCATENATE(Travail!AY27,Travail!AY38,Travail!AY49))))</f>
        <v>0</v>
      </c>
      <c r="AZ122" s="172">
        <f>IF(AZ76=0,0,IF(AZ99=3,0,VALUE(CONCATENATE(Travail!AZ27,Travail!AZ38,Travail!AZ49))))</f>
        <v>0</v>
      </c>
      <c r="BA122" s="172">
        <f>IF(BA76=0,0,IF(BA99=3,0,VALUE(CONCATENATE(Travail!BA27,Travail!BA38,Travail!BA49))))</f>
        <v>0</v>
      </c>
      <c r="BB122" s="172">
        <f>IF(BB76=0,0,IF(BB99=3,0,VALUE(CONCATENATE(Travail!BB27,Travail!BB38,Travail!BB49))))</f>
        <v>0</v>
      </c>
      <c r="BC122" s="172">
        <f>IF(BC76=0,0,IF(BC99=3,0,VALUE(CONCATENATE(Travail!BC27,Travail!BC38,Travail!BC49))))</f>
        <v>0</v>
      </c>
      <c r="BD122" s="172">
        <f>IF(BD76=0,0,IF(BD99=3,0,VALUE(CONCATENATE(Travail!BD27,Travail!BD38,Travail!BD49))))</f>
        <v>0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0</v>
      </c>
      <c r="BP122" s="172">
        <f>IF(BP76=0,0,IF(BP99=3,0,VALUE(CONCATENATE(Travail!BP27,Travail!BP38,Travail!BP49))))</f>
        <v>0</v>
      </c>
      <c r="BQ122" s="172">
        <f>IF(BQ76=0,0,IF(BQ99=3,0,VALUE(CONCATENATE(Travail!BQ27,Travail!BQ38,Travail!BQ49))))</f>
        <v>0</v>
      </c>
      <c r="BR122" s="172">
        <f>IF(BR76=0,0,IF(BR99=3,0,VALUE(CONCATENATE(Travail!BR27,Travail!BR38,Travail!BR49))))</f>
        <v>0</v>
      </c>
      <c r="BS122" s="172">
        <f>IF(BS76=0,0,IF(BS99=3,0,VALUE(CONCATENATE(Travail!BS27,Travail!BS38,Travail!BS49))))</f>
        <v>0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230</v>
      </c>
      <c r="CH122" s="172">
        <f>IF(CH76=0,0,VALUE(CONCATENATE(Travail!CH27,Travail!CH38,Travail!CH49)))</f>
        <v>230</v>
      </c>
      <c r="CI122" s="172">
        <f>IF(CI76=0,0,VALUE(CONCATENATE(Travail!CI27,Travail!CI38,Travail!CI49)))</f>
        <v>230</v>
      </c>
      <c r="CJ122" s="172">
        <f>IF(CJ76=0,0,VALUE(CONCATENATE(Travail!CJ27,Travail!CJ38,Travail!CJ49)))</f>
        <v>230</v>
      </c>
      <c r="CK122" s="172">
        <f>IF(CK76=0,0,VALUE(CONCATENATE(Travail!CK27,Travail!CK38,Travail!CK49)))</f>
        <v>230</v>
      </c>
      <c r="CL122" s="172">
        <f>IF(CL76=0,0,VALUE(CONCATENATE(Travail!CL27,Travail!CL38,Travail!CL49)))</f>
        <v>230</v>
      </c>
      <c r="CM122" s="172">
        <f>IF(CM76=0,0,VALUE(CONCATENATE(Travail!CM27,Travail!CM38,Travail!CM49)))</f>
        <v>230</v>
      </c>
      <c r="CN122" s="172">
        <f>IF(CN76=0,0,VALUE(CONCATENATE(Travail!CN27,Travail!CN38,Travail!CN49)))</f>
        <v>230</v>
      </c>
      <c r="CO122" s="172">
        <f>IF(CO76=0,0,VALUE(CONCATENATE(Travail!CO27,Travail!CO38,Travail!CO49)))</f>
        <v>230</v>
      </c>
      <c r="CP122" s="172">
        <f>IF(CP76=0,0,VALUE(CONCATENATE(Travail!CP27,Travail!CP38,Travail!CP49)))</f>
        <v>230</v>
      </c>
      <c r="CQ122" s="172">
        <f>IF(CQ76=0,0,VALUE(CONCATENATE(Travail!CQ27,Travail!CQ38,Travail!CQ49)))</f>
        <v>230</v>
      </c>
      <c r="CR122" s="172">
        <f>IF(CR76=0,0,VALUE(CONCATENATE(Travail!CR27,Travail!CR38,Travail!CR49)))</f>
        <v>230</v>
      </c>
      <c r="CS122" s="172">
        <f>IF(CS76=0,0,VALUE(CONCATENATE(Travail!CS27,Travail!CS38,Travail!CS49)))</f>
        <v>230</v>
      </c>
      <c r="CT122" s="172">
        <f>IF(CT76=0,0,VALUE(CONCATENATE(Travail!CT27,Travail!CT38,Travail!CT49)))</f>
        <v>230</v>
      </c>
      <c r="CU122" s="172">
        <f>IF(CU76=0,0,VALUE(CONCATENATE(Travail!CU27,Travail!CU38,Travail!CU49)))</f>
        <v>230</v>
      </c>
      <c r="CV122" s="172">
        <f>IF(CV76=0,0,VALUE(CONCATENATE(Travail!CV27,Travail!CV38,Travail!CV49)))</f>
        <v>230</v>
      </c>
      <c r="CW122" s="172">
        <f>IF(CW76=0,0,VALUE(CONCATENATE(Travail!CW27,Travail!CW38,Travail!CW49)))</f>
        <v>230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0</v>
      </c>
      <c r="D123" s="172">
        <f t="shared" si="25"/>
        <v>0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0</v>
      </c>
      <c r="BB123" s="172">
        <f>IF(BB77=0,0,IF(BB100=3,0,VALUE(CONCATENATE(Travail!BB28,Travail!BB39,Travail!BB50))))</f>
        <v>0</v>
      </c>
      <c r="BC123" s="172">
        <f>IF(BC77=0,0,IF(BC100=3,0,VALUE(CONCATENATE(Travail!BC28,Travail!BC39,Travail!BC50))))</f>
        <v>0</v>
      </c>
      <c r="BD123" s="172">
        <f>IF(BD77=0,0,IF(BD100=3,0,VALUE(CONCATENATE(Travail!BD28,Travail!BD39,Travail!BD50))))</f>
        <v>0</v>
      </c>
      <c r="BE123" s="172">
        <f>IF(BE77=0,0,IF(BE100=3,0,VALUE(CONCATENATE(Travail!BE28,Travail!BE39,Travail!BE50))))</f>
        <v>0</v>
      </c>
      <c r="BF123" s="172">
        <f>IF(BF77=0,0,IF(BF100=3,0,VALUE(CONCATENATE(Travail!BF28,Travail!BF39,Travail!BF50))))</f>
        <v>0</v>
      </c>
      <c r="BG123" s="172">
        <f>IF(BG77=0,0,IF(BG100=3,0,VALUE(CONCATENATE(Travail!BG28,Travail!BG39,Travail!BG50))))</f>
        <v>0</v>
      </c>
      <c r="BH123" s="172">
        <f>IF(BH77=0,0,IF(BH100=3,0,VALUE(CONCATENATE(Travail!BH28,Travail!BH39,Travail!BH50))))</f>
        <v>0</v>
      </c>
      <c r="BI123" s="172">
        <f>IF(BI77=0,0,IF(BI100=3,0,VALUE(CONCATENATE(Travail!BI28,Travail!BI39,Travail!BI50))))</f>
        <v>0</v>
      </c>
      <c r="BJ123" s="172">
        <f>IF(BJ77=0,0,IF(BJ100=3,0,VALUE(CONCATENATE(Travail!BJ28,Travail!BJ39,Travail!BJ50))))</f>
        <v>0</v>
      </c>
      <c r="BK123" s="172">
        <f>IF(BK77=0,0,IF(BK100=3,0,VALUE(CONCATENATE(Travail!BK28,Travail!BK39,Travail!BK50))))</f>
        <v>0</v>
      </c>
      <c r="BL123" s="172">
        <f>IF(BL77=0,0,IF(BL100=3,0,VALUE(CONCATENATE(Travail!BL28,Travail!BL39,Travail!BL50))))</f>
        <v>0</v>
      </c>
      <c r="BM123" s="172">
        <f>IF(BM77=0,0,IF(BM100=3,0,VALUE(CONCATENATE(Travail!BM28,Travail!BM39,Travail!BM50))))</f>
        <v>0</v>
      </c>
      <c r="BN123" s="172">
        <f>IF(BN77=0,0,IF(BN100=3,0,VALUE(CONCATENATE(Travail!BN28,Travail!BN39,Travail!BN50))))</f>
        <v>0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130</v>
      </c>
      <c r="CG123" s="172">
        <f>IF(CG77=0,0,VALUE(CONCATENATE(Travail!CG28,Travail!CG39,Travail!CG50)))</f>
        <v>130</v>
      </c>
      <c r="CH123" s="172">
        <f>IF(CH77=0,0,VALUE(CONCATENATE(Travail!CH28,Travail!CH39,Travail!CH50)))</f>
        <v>130</v>
      </c>
      <c r="CI123" s="172">
        <f>IF(CI77=0,0,VALUE(CONCATENATE(Travail!CI28,Travail!CI39,Travail!CI50)))</f>
        <v>130</v>
      </c>
      <c r="CJ123" s="172">
        <f>IF(CJ77=0,0,VALUE(CONCATENATE(Travail!CJ28,Travail!CJ39,Travail!CJ50)))</f>
        <v>130</v>
      </c>
      <c r="CK123" s="172">
        <f>IF(CK77=0,0,VALUE(CONCATENATE(Travail!CK28,Travail!CK39,Travail!CK50)))</f>
        <v>130</v>
      </c>
      <c r="CL123" s="172">
        <f>IF(CL77=0,0,VALUE(CONCATENATE(Travail!CL28,Travail!CL39,Travail!CL50)))</f>
        <v>130</v>
      </c>
      <c r="CM123" s="172">
        <f>IF(CM77=0,0,VALUE(CONCATENATE(Travail!CM28,Travail!CM39,Travail!CM50)))</f>
        <v>130</v>
      </c>
      <c r="CN123" s="172">
        <f>IF(CN77=0,0,VALUE(CONCATENATE(Travail!CN28,Travail!CN39,Travail!CN50)))</f>
        <v>130</v>
      </c>
      <c r="CO123" s="172">
        <f>IF(CO77=0,0,VALUE(CONCATENATE(Travail!CO28,Travail!CO39,Travail!CO50)))</f>
        <v>130</v>
      </c>
      <c r="CP123" s="172">
        <f>IF(CP77=0,0,VALUE(CONCATENATE(Travail!CP28,Travail!CP39,Travail!CP50)))</f>
        <v>130</v>
      </c>
      <c r="CQ123" s="172">
        <f>IF(CQ77=0,0,VALUE(CONCATENATE(Travail!CQ28,Travail!CQ39,Travail!CQ50)))</f>
        <v>130</v>
      </c>
      <c r="CR123" s="172">
        <f>IF(CR77=0,0,VALUE(CONCATENATE(Travail!CR28,Travail!CR39,Travail!CR50)))</f>
        <v>130</v>
      </c>
      <c r="CS123" s="172">
        <f>IF(CS77=0,0,VALUE(CONCATENATE(Travail!CS28,Travail!CS39,Travail!CS50)))</f>
        <v>130</v>
      </c>
      <c r="CT123" s="172">
        <f>IF(CT77=0,0,VALUE(CONCATENATE(Travail!CT28,Travail!CT39,Travail!CT50)))</f>
        <v>130</v>
      </c>
      <c r="CU123" s="172">
        <f>IF(CU77=0,0,VALUE(CONCATENATE(Travail!CU28,Travail!CU39,Travail!CU50)))</f>
        <v>130</v>
      </c>
      <c r="CV123" s="172">
        <f>IF(CV77=0,0,VALUE(CONCATENATE(Travail!CV28,Travail!CV39,Travail!CV50)))</f>
        <v>130</v>
      </c>
      <c r="CW123" s="172">
        <f>IF(CW77=0,0,VALUE(CONCATENATE(Travail!CW28,Travail!CW39,Travail!CW50)))</f>
        <v>130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0</v>
      </c>
      <c r="AW124" s="172">
        <f>IF(AW78=0,0,IF(AW101=3,0,VALUE(CONCATENATE(Travail!AW29,Travail!AW40,Travail!AW51))))</f>
        <v>0</v>
      </c>
      <c r="AX124" s="172">
        <f>IF(AX78=0,0,IF(AX101=3,0,VALUE(CONCATENATE(Travail!AX29,Travail!AX40,Travail!AX51))))</f>
        <v>0</v>
      </c>
      <c r="AY124" s="172">
        <f>IF(AY78=0,0,IF(AY101=3,0,VALUE(CONCATENATE(Travail!AY29,Travail!AY40,Travail!AY51))))</f>
        <v>0</v>
      </c>
      <c r="AZ124" s="172">
        <f>IF(AZ78=0,0,IF(AZ101=3,0,VALUE(CONCATENATE(Travail!AZ29,Travail!AZ40,Travail!AZ51))))</f>
        <v>0</v>
      </c>
      <c r="BA124" s="172">
        <f>IF(BA78=0,0,IF(BA101=3,0,VALUE(CONCATENATE(Travail!BA29,Travail!BA40,Travail!BA51))))</f>
        <v>0</v>
      </c>
      <c r="BB124" s="172">
        <f>IF(BB78=0,0,IF(BB101=3,0,VALUE(CONCATENATE(Travail!BB29,Travail!BB40,Travail!BB51))))</f>
        <v>0</v>
      </c>
      <c r="BC124" s="172">
        <f>IF(BC78=0,0,IF(BC101=3,0,VALUE(CONCATENATE(Travail!BC29,Travail!BC40,Travail!BC51))))</f>
        <v>0</v>
      </c>
      <c r="BD124" s="172">
        <f>IF(BD78=0,0,IF(BD101=3,0,VALUE(CONCATENATE(Travail!BD29,Travail!BD40,Travail!BD51))))</f>
        <v>0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0</v>
      </c>
      <c r="BP124" s="172">
        <f>IF(BP78=0,0,IF(BP101=3,0,VALUE(CONCATENATE(Travail!BP29,Travail!BP40,Travail!BP51))))</f>
        <v>0</v>
      </c>
      <c r="BQ124" s="172">
        <f>IF(BQ78=0,0,IF(BQ101=3,0,VALUE(CONCATENATE(Travail!BQ29,Travail!BQ40,Travail!BQ51))))</f>
        <v>0</v>
      </c>
      <c r="BR124" s="172">
        <f>IF(BR78=0,0,IF(BR101=3,0,VALUE(CONCATENATE(Travail!BR29,Travail!BR40,Travail!BR51))))</f>
        <v>0</v>
      </c>
      <c r="BS124" s="172">
        <f>IF(BS78=0,0,IF(BS101=3,0,VALUE(CONCATENATE(Travail!BS29,Travail!BS40,Travail!BS51))))</f>
        <v>0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0</v>
      </c>
      <c r="D125" s="172">
        <f t="shared" si="25"/>
        <v>0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0</v>
      </c>
      <c r="D126" s="172">
        <f t="shared" si="25"/>
        <v>0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0</v>
      </c>
      <c r="D128" s="172">
        <f t="shared" si="25"/>
        <v>0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0</v>
      </c>
      <c r="N129">
        <f t="shared" si="35"/>
        <v>0</v>
      </c>
      <c r="O129">
        <f t="shared" si="35"/>
        <v>0</v>
      </c>
      <c r="P129">
        <f t="shared" si="35"/>
        <v>0</v>
      </c>
      <c r="Q129">
        <f t="shared" si="35"/>
        <v>0</v>
      </c>
      <c r="R129">
        <f t="shared" si="35"/>
        <v>0</v>
      </c>
      <c r="S129">
        <f t="shared" si="35"/>
        <v>0</v>
      </c>
      <c r="T129">
        <f t="shared" si="35"/>
        <v>0</v>
      </c>
      <c r="U129">
        <f t="shared" si="35"/>
        <v>0</v>
      </c>
      <c r="V129">
        <f t="shared" si="35"/>
        <v>0</v>
      </c>
      <c r="W129">
        <f t="shared" si="35"/>
        <v>0</v>
      </c>
      <c r="X129">
        <f t="shared" si="35"/>
        <v>0</v>
      </c>
      <c r="Y129">
        <f t="shared" si="35"/>
        <v>0</v>
      </c>
      <c r="Z129">
        <f t="shared" si="35"/>
        <v>0</v>
      </c>
      <c r="AA129">
        <f t="shared" si="35"/>
        <v>0</v>
      </c>
      <c r="AB129">
        <f t="shared" si="35"/>
        <v>0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0</v>
      </c>
      <c r="N132">
        <f t="shared" si="38"/>
        <v>0</v>
      </c>
      <c r="O132">
        <f t="shared" si="38"/>
        <v>0</v>
      </c>
      <c r="P132">
        <f t="shared" si="38"/>
        <v>0</v>
      </c>
      <c r="Q132">
        <f t="shared" si="38"/>
        <v>0</v>
      </c>
      <c r="R132">
        <f t="shared" si="38"/>
        <v>0</v>
      </c>
      <c r="S132">
        <f t="shared" si="38"/>
        <v>0</v>
      </c>
      <c r="T132">
        <f t="shared" si="38"/>
        <v>0</v>
      </c>
      <c r="U132">
        <f t="shared" si="38"/>
        <v>0</v>
      </c>
      <c r="V132">
        <f t="shared" si="38"/>
        <v>0</v>
      </c>
      <c r="W132">
        <f t="shared" si="38"/>
        <v>0</v>
      </c>
      <c r="X132">
        <f t="shared" si="38"/>
        <v>0</v>
      </c>
      <c r="Y132">
        <f t="shared" si="38"/>
        <v>0</v>
      </c>
      <c r="Z132">
        <f t="shared" si="38"/>
        <v>0</v>
      </c>
      <c r="AA132">
        <f t="shared" si="38"/>
        <v>0</v>
      </c>
      <c r="AB132">
        <f t="shared" si="38"/>
        <v>0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23</v>
      </c>
      <c r="AZ132" s="172">
        <f t="shared" si="39"/>
        <v>23</v>
      </c>
      <c r="BA132" s="172">
        <f t="shared" si="39"/>
        <v>23</v>
      </c>
      <c r="BB132" s="172">
        <f t="shared" si="39"/>
        <v>23</v>
      </c>
      <c r="BC132" s="172">
        <f t="shared" si="39"/>
        <v>23</v>
      </c>
      <c r="BD132" s="172">
        <f t="shared" si="39"/>
        <v>23</v>
      </c>
      <c r="BE132" s="172">
        <f t="shared" si="39"/>
        <v>23</v>
      </c>
      <c r="BF132" s="172">
        <f t="shared" si="39"/>
        <v>23</v>
      </c>
      <c r="BG132" s="172">
        <f t="shared" si="39"/>
        <v>23</v>
      </c>
      <c r="BH132" s="172">
        <f t="shared" si="39"/>
        <v>23</v>
      </c>
      <c r="BI132" s="172">
        <f t="shared" si="39"/>
        <v>23</v>
      </c>
      <c r="BJ132" s="172">
        <f t="shared" si="39"/>
        <v>23</v>
      </c>
      <c r="BK132" s="172">
        <f t="shared" si="39"/>
        <v>23</v>
      </c>
      <c r="BL132" s="172">
        <f t="shared" si="39"/>
        <v>23</v>
      </c>
      <c r="BM132" s="172">
        <f t="shared" si="39"/>
        <v>23</v>
      </c>
      <c r="BN132" s="172">
        <f t="shared" si="39"/>
        <v>23</v>
      </c>
      <c r="BO132" s="172">
        <f t="shared" si="39"/>
        <v>23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23</v>
      </c>
      <c r="CI132" s="172">
        <f t="shared" si="40"/>
        <v>23</v>
      </c>
      <c r="CJ132" s="172">
        <f t="shared" si="40"/>
        <v>23</v>
      </c>
      <c r="CK132" s="172">
        <f t="shared" si="40"/>
        <v>23</v>
      </c>
      <c r="CL132" s="172">
        <f t="shared" si="40"/>
        <v>23</v>
      </c>
      <c r="CM132" s="172">
        <f t="shared" si="40"/>
        <v>23</v>
      </c>
      <c r="CN132" s="172">
        <f t="shared" si="40"/>
        <v>23</v>
      </c>
      <c r="CO132" s="172">
        <f t="shared" si="40"/>
        <v>23</v>
      </c>
      <c r="CP132" s="172">
        <f t="shared" si="40"/>
        <v>23</v>
      </c>
      <c r="CQ132" s="172">
        <f t="shared" si="40"/>
        <v>23</v>
      </c>
      <c r="CR132" s="172">
        <f t="shared" si="40"/>
        <v>23</v>
      </c>
      <c r="CS132" s="172">
        <f t="shared" si="40"/>
        <v>23</v>
      </c>
      <c r="CT132" s="172">
        <f t="shared" si="40"/>
        <v>23</v>
      </c>
      <c r="CU132" s="172">
        <f t="shared" si="40"/>
        <v>23</v>
      </c>
      <c r="CV132" s="172">
        <f t="shared" si="40"/>
        <v>23</v>
      </c>
      <c r="CW132" s="172">
        <f t="shared" si="40"/>
        <v>23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</v>
      </c>
      <c r="D133" s="261">
        <f t="shared" si="25"/>
        <v>0</v>
      </c>
      <c r="AT133" s="188" t="str">
        <f t="shared" ref="AT133:AT141" si="42">AT122</f>
        <v>vides</v>
      </c>
      <c r="AV133" s="172">
        <f t="shared" si="39"/>
        <v>23</v>
      </c>
      <c r="AW133" s="172">
        <f t="shared" si="39"/>
        <v>23</v>
      </c>
      <c r="AX133" s="172">
        <f t="shared" si="39"/>
        <v>23</v>
      </c>
      <c r="AY133" s="172">
        <f t="shared" si="39"/>
        <v>23</v>
      </c>
      <c r="AZ133" s="172">
        <f t="shared" si="39"/>
        <v>23</v>
      </c>
      <c r="BA133" s="172">
        <f t="shared" si="39"/>
        <v>23</v>
      </c>
      <c r="BB133" s="172">
        <f t="shared" si="39"/>
        <v>23</v>
      </c>
      <c r="BC133" s="172">
        <f t="shared" si="39"/>
        <v>23</v>
      </c>
      <c r="BD133" s="172">
        <f t="shared" si="39"/>
        <v>23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23</v>
      </c>
      <c r="BP133" s="172">
        <f t="shared" si="39"/>
        <v>23</v>
      </c>
      <c r="BQ133" s="172">
        <f t="shared" si="39"/>
        <v>23</v>
      </c>
      <c r="BR133" s="172">
        <f t="shared" si="39"/>
        <v>23</v>
      </c>
      <c r="BS133" s="172">
        <f t="shared" si="39"/>
        <v>23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23</v>
      </c>
      <c r="CH133" s="172">
        <f t="shared" si="40"/>
        <v>23</v>
      </c>
      <c r="CI133" s="172">
        <f t="shared" si="40"/>
        <v>23</v>
      </c>
      <c r="CJ133" s="172">
        <f t="shared" si="40"/>
        <v>23</v>
      </c>
      <c r="CK133" s="172">
        <f t="shared" si="40"/>
        <v>23</v>
      </c>
      <c r="CL133" s="172">
        <f t="shared" si="40"/>
        <v>23</v>
      </c>
      <c r="CM133" s="172">
        <f t="shared" si="40"/>
        <v>23</v>
      </c>
      <c r="CN133" s="172">
        <f t="shared" si="40"/>
        <v>23</v>
      </c>
      <c r="CO133" s="172">
        <f t="shared" si="40"/>
        <v>23</v>
      </c>
      <c r="CP133" s="172">
        <f t="shared" si="40"/>
        <v>23</v>
      </c>
      <c r="CQ133" s="172">
        <f t="shared" si="40"/>
        <v>23</v>
      </c>
      <c r="CR133" s="172">
        <f t="shared" si="40"/>
        <v>23</v>
      </c>
      <c r="CS133" s="172">
        <f t="shared" si="40"/>
        <v>23</v>
      </c>
      <c r="CT133" s="172">
        <f t="shared" si="40"/>
        <v>23</v>
      </c>
      <c r="CU133" s="172">
        <f t="shared" si="40"/>
        <v>23</v>
      </c>
      <c r="CV133" s="172">
        <f t="shared" si="40"/>
        <v>23</v>
      </c>
      <c r="CW133" s="172">
        <f t="shared" si="40"/>
        <v>23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</v>
      </c>
      <c r="D134" s="261">
        <f t="shared" si="25"/>
        <v>0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23</v>
      </c>
      <c r="BB134" s="172">
        <f t="shared" si="39"/>
        <v>23</v>
      </c>
      <c r="BC134" s="172">
        <f t="shared" si="39"/>
        <v>23</v>
      </c>
      <c r="BD134" s="172">
        <f t="shared" si="39"/>
        <v>23</v>
      </c>
      <c r="BE134" s="172">
        <f t="shared" si="39"/>
        <v>23</v>
      </c>
      <c r="BF134" s="172">
        <f t="shared" si="39"/>
        <v>23</v>
      </c>
      <c r="BG134" s="172">
        <f t="shared" si="39"/>
        <v>23</v>
      </c>
      <c r="BH134" s="172">
        <f t="shared" si="39"/>
        <v>23</v>
      </c>
      <c r="BI134" s="172">
        <f t="shared" si="39"/>
        <v>23</v>
      </c>
      <c r="BJ134" s="172">
        <f t="shared" si="39"/>
        <v>23</v>
      </c>
      <c r="BK134" s="172">
        <f t="shared" si="39"/>
        <v>23</v>
      </c>
      <c r="BL134" s="172">
        <f t="shared" si="39"/>
        <v>23</v>
      </c>
      <c r="BM134" s="172">
        <f t="shared" si="39"/>
        <v>23</v>
      </c>
      <c r="BN134" s="172">
        <f t="shared" si="39"/>
        <v>23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3</v>
      </c>
      <c r="CG134" s="172">
        <f t="shared" si="40"/>
        <v>3</v>
      </c>
      <c r="CH134" s="172">
        <f t="shared" si="40"/>
        <v>3</v>
      </c>
      <c r="CI134" s="172">
        <f t="shared" si="40"/>
        <v>3</v>
      </c>
      <c r="CJ134" s="172">
        <f t="shared" si="40"/>
        <v>3</v>
      </c>
      <c r="CK134" s="172">
        <f t="shared" si="40"/>
        <v>3</v>
      </c>
      <c r="CL134" s="172">
        <f t="shared" si="40"/>
        <v>3</v>
      </c>
      <c r="CM134" s="172">
        <f t="shared" si="40"/>
        <v>3</v>
      </c>
      <c r="CN134" s="172">
        <f t="shared" si="40"/>
        <v>3</v>
      </c>
      <c r="CO134" s="172">
        <f t="shared" si="40"/>
        <v>3</v>
      </c>
      <c r="CP134" s="172">
        <f t="shared" si="40"/>
        <v>3</v>
      </c>
      <c r="CQ134" s="172">
        <f t="shared" si="40"/>
        <v>3</v>
      </c>
      <c r="CR134" s="172">
        <f t="shared" si="40"/>
        <v>3</v>
      </c>
      <c r="CS134" s="172">
        <f t="shared" si="40"/>
        <v>3</v>
      </c>
      <c r="CT134" s="172">
        <f t="shared" si="40"/>
        <v>3</v>
      </c>
      <c r="CU134" s="172">
        <f t="shared" si="40"/>
        <v>3</v>
      </c>
      <c r="CV134" s="172">
        <f t="shared" si="40"/>
        <v>3</v>
      </c>
      <c r="CW134" s="172">
        <f t="shared" si="40"/>
        <v>3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23</v>
      </c>
      <c r="AW135" s="172">
        <f t="shared" si="39"/>
        <v>23</v>
      </c>
      <c r="AX135" s="172">
        <f t="shared" si="39"/>
        <v>23</v>
      </c>
      <c r="AY135" s="172">
        <f t="shared" si="39"/>
        <v>23</v>
      </c>
      <c r="AZ135" s="172">
        <f t="shared" si="39"/>
        <v>23</v>
      </c>
      <c r="BA135" s="172">
        <f t="shared" si="39"/>
        <v>23</v>
      </c>
      <c r="BB135" s="172">
        <f t="shared" si="39"/>
        <v>23</v>
      </c>
      <c r="BC135" s="172">
        <f t="shared" si="39"/>
        <v>23</v>
      </c>
      <c r="BD135" s="172">
        <f t="shared" si="39"/>
        <v>23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23</v>
      </c>
      <c r="BP135" s="172">
        <f t="shared" si="39"/>
        <v>23</v>
      </c>
      <c r="BQ135" s="172">
        <f t="shared" si="39"/>
        <v>23</v>
      </c>
      <c r="BR135" s="172">
        <f t="shared" si="39"/>
        <v>23</v>
      </c>
      <c r="BS135" s="172">
        <f t="shared" si="39"/>
        <v>23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 t="e">
        <f>SUM(C110:C112)/SUM(C110:C118)</f>
        <v>#DIV/0!</v>
      </c>
      <c r="D136" s="261" t="e">
        <f t="shared" si="25"/>
        <v>#DIV/0!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4</v>
      </c>
      <c r="AW142" s="172">
        <f t="shared" ref="AW142:BS142" si="58">COUNTIF(AW$132:AW$141,23)</f>
        <v>4</v>
      </c>
      <c r="AX142" s="172">
        <f t="shared" si="58"/>
        <v>4</v>
      </c>
      <c r="AY142" s="172">
        <f t="shared" si="58"/>
        <v>4</v>
      </c>
      <c r="AZ142" s="172">
        <f t="shared" si="58"/>
        <v>4</v>
      </c>
      <c r="BA142" s="172">
        <f t="shared" si="58"/>
        <v>4</v>
      </c>
      <c r="BB142" s="172">
        <f t="shared" si="58"/>
        <v>4</v>
      </c>
      <c r="BC142" s="172">
        <f t="shared" si="58"/>
        <v>4</v>
      </c>
      <c r="BD142" s="172">
        <f t="shared" si="58"/>
        <v>4</v>
      </c>
      <c r="BE142" s="172">
        <f t="shared" si="58"/>
        <v>2</v>
      </c>
      <c r="BF142" s="172">
        <f t="shared" si="58"/>
        <v>2</v>
      </c>
      <c r="BG142" s="172">
        <f t="shared" si="58"/>
        <v>2</v>
      </c>
      <c r="BH142" s="172">
        <f t="shared" si="58"/>
        <v>2</v>
      </c>
      <c r="BI142" s="172">
        <f t="shared" si="58"/>
        <v>2</v>
      </c>
      <c r="BJ142" s="172">
        <f t="shared" si="58"/>
        <v>2</v>
      </c>
      <c r="BK142" s="172">
        <f t="shared" si="58"/>
        <v>2</v>
      </c>
      <c r="BL142" s="172">
        <f t="shared" si="58"/>
        <v>2</v>
      </c>
      <c r="BM142" s="172">
        <f t="shared" si="58"/>
        <v>2</v>
      </c>
      <c r="BN142" s="172">
        <f t="shared" si="58"/>
        <v>2</v>
      </c>
      <c r="BO142" s="172">
        <f t="shared" si="58"/>
        <v>3</v>
      </c>
      <c r="BP142" s="172">
        <f t="shared" si="58"/>
        <v>3</v>
      </c>
      <c r="BQ142" s="172">
        <f t="shared" si="58"/>
        <v>4</v>
      </c>
      <c r="BR142" s="172">
        <f t="shared" si="58"/>
        <v>4</v>
      </c>
      <c r="BS142" s="172">
        <f t="shared" si="58"/>
        <v>4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2</v>
      </c>
      <c r="CH142" s="172">
        <f t="shared" si="59"/>
        <v>2</v>
      </c>
      <c r="CI142" s="172">
        <f t="shared" si="59"/>
        <v>2</v>
      </c>
      <c r="CJ142" s="172">
        <f t="shared" si="59"/>
        <v>2</v>
      </c>
      <c r="CK142" s="172">
        <f t="shared" si="59"/>
        <v>2</v>
      </c>
      <c r="CL142" s="172">
        <f t="shared" si="59"/>
        <v>2</v>
      </c>
      <c r="CM142" s="172">
        <f t="shared" si="59"/>
        <v>2</v>
      </c>
      <c r="CN142" s="172">
        <f t="shared" si="59"/>
        <v>2</v>
      </c>
      <c r="CO142" s="172">
        <f t="shared" si="59"/>
        <v>2</v>
      </c>
      <c r="CP142" s="172">
        <f t="shared" si="59"/>
        <v>2</v>
      </c>
      <c r="CQ142" s="172">
        <f t="shared" si="59"/>
        <v>2</v>
      </c>
      <c r="CR142" s="172">
        <f t="shared" si="59"/>
        <v>2</v>
      </c>
      <c r="CS142" s="172">
        <f t="shared" si="59"/>
        <v>2</v>
      </c>
      <c r="CT142" s="172">
        <f t="shared" si="59"/>
        <v>2</v>
      </c>
      <c r="CU142" s="172">
        <f t="shared" si="59"/>
        <v>2</v>
      </c>
      <c r="CV142" s="172">
        <f t="shared" si="59"/>
        <v>2</v>
      </c>
      <c r="CW142" s="172">
        <f t="shared" si="59"/>
        <v>2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0</v>
      </c>
      <c r="AW144" s="172">
        <f t="shared" ref="AW144:BS144" si="64">COUNTIF(AW$132:AW$141,22)</f>
        <v>0</v>
      </c>
      <c r="AX144" s="172">
        <f t="shared" si="64"/>
        <v>0</v>
      </c>
      <c r="AY144" s="172">
        <f t="shared" si="64"/>
        <v>0</v>
      </c>
      <c r="AZ144" s="172">
        <f t="shared" si="64"/>
        <v>0</v>
      </c>
      <c r="BA144" s="172">
        <f t="shared" si="64"/>
        <v>0</v>
      </c>
      <c r="BB144" s="172">
        <f t="shared" si="64"/>
        <v>0</v>
      </c>
      <c r="BC144" s="172">
        <f t="shared" si="64"/>
        <v>0</v>
      </c>
      <c r="BD144" s="172">
        <f t="shared" si="64"/>
        <v>0</v>
      </c>
      <c r="BE144" s="172">
        <f t="shared" si="64"/>
        <v>0</v>
      </c>
      <c r="BF144" s="172">
        <f t="shared" si="64"/>
        <v>0</v>
      </c>
      <c r="BG144" s="172">
        <f t="shared" si="64"/>
        <v>0</v>
      </c>
      <c r="BH144" s="172">
        <f t="shared" si="64"/>
        <v>0</v>
      </c>
      <c r="BI144" s="172">
        <f t="shared" si="64"/>
        <v>0</v>
      </c>
      <c r="BJ144" s="172">
        <f t="shared" si="64"/>
        <v>0</v>
      </c>
      <c r="BK144" s="172">
        <f t="shared" si="64"/>
        <v>0</v>
      </c>
      <c r="BL144" s="172">
        <f t="shared" si="64"/>
        <v>0</v>
      </c>
      <c r="BM144" s="172">
        <f t="shared" si="64"/>
        <v>0</v>
      </c>
      <c r="BN144" s="172">
        <f t="shared" si="64"/>
        <v>0</v>
      </c>
      <c r="BO144" s="172">
        <f t="shared" si="64"/>
        <v>0</v>
      </c>
      <c r="BP144" s="172">
        <f t="shared" si="64"/>
        <v>0</v>
      </c>
      <c r="BQ144" s="172">
        <f t="shared" si="64"/>
        <v>0</v>
      </c>
      <c r="BR144" s="172">
        <f t="shared" si="64"/>
        <v>0</v>
      </c>
      <c r="BS144" s="172">
        <f t="shared" si="64"/>
        <v>0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0</v>
      </c>
      <c r="CH144" s="172">
        <f t="shared" si="65"/>
        <v>0</v>
      </c>
      <c r="CI144" s="172">
        <f t="shared" si="65"/>
        <v>0</v>
      </c>
      <c r="CJ144" s="172">
        <f t="shared" si="65"/>
        <v>0</v>
      </c>
      <c r="CK144" s="172">
        <f t="shared" si="65"/>
        <v>0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0</v>
      </c>
      <c r="CU144" s="172">
        <f t="shared" si="65"/>
        <v>0</v>
      </c>
      <c r="CV144" s="172">
        <f t="shared" si="65"/>
        <v>0</v>
      </c>
      <c r="CW144" s="172">
        <f t="shared" si="65"/>
        <v>0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23</v>
      </c>
      <c r="BB146" s="61">
        <f t="shared" si="70"/>
        <v>23</v>
      </c>
      <c r="BC146" s="61">
        <f t="shared" si="70"/>
        <v>23</v>
      </c>
      <c r="BD146" s="61">
        <f t="shared" si="70"/>
        <v>23</v>
      </c>
      <c r="BE146" s="61">
        <f t="shared" si="70"/>
        <v>23</v>
      </c>
      <c r="BF146" s="61">
        <f t="shared" si="70"/>
        <v>23</v>
      </c>
      <c r="BG146" s="61">
        <f t="shared" si="70"/>
        <v>23</v>
      </c>
      <c r="BH146" s="61">
        <f t="shared" si="70"/>
        <v>23</v>
      </c>
      <c r="BI146" s="61">
        <f t="shared" si="70"/>
        <v>23</v>
      </c>
      <c r="BJ146" s="61">
        <f t="shared" si="70"/>
        <v>23</v>
      </c>
      <c r="BK146" s="61">
        <f t="shared" si="70"/>
        <v>23</v>
      </c>
      <c r="BL146" s="61">
        <f t="shared" si="70"/>
        <v>23</v>
      </c>
      <c r="BM146" s="61">
        <f t="shared" si="70"/>
        <v>23</v>
      </c>
      <c r="BN146" s="61">
        <f t="shared" si="70"/>
        <v>23</v>
      </c>
      <c r="BO146" s="61">
        <f t="shared" si="70"/>
        <v>23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23</v>
      </c>
      <c r="CI146" s="61">
        <f t="shared" si="71"/>
        <v>23</v>
      </c>
      <c r="CJ146" s="61">
        <f t="shared" si="71"/>
        <v>23</v>
      </c>
      <c r="CK146" s="61">
        <f t="shared" si="71"/>
        <v>23</v>
      </c>
      <c r="CL146" s="61">
        <f t="shared" si="71"/>
        <v>23</v>
      </c>
      <c r="CM146" s="61">
        <f t="shared" si="71"/>
        <v>23</v>
      </c>
      <c r="CN146" s="61">
        <f t="shared" si="71"/>
        <v>23</v>
      </c>
      <c r="CO146" s="61">
        <f t="shared" si="71"/>
        <v>23</v>
      </c>
      <c r="CP146" s="61">
        <f t="shared" si="71"/>
        <v>23</v>
      </c>
      <c r="CQ146" s="61">
        <f t="shared" si="71"/>
        <v>23</v>
      </c>
      <c r="CR146" s="61">
        <f t="shared" si="71"/>
        <v>23</v>
      </c>
      <c r="CS146" s="61">
        <f t="shared" si="71"/>
        <v>23</v>
      </c>
      <c r="CT146" s="61">
        <f t="shared" si="71"/>
        <v>23</v>
      </c>
      <c r="CU146" s="61">
        <f t="shared" si="71"/>
        <v>23</v>
      </c>
      <c r="CV146" s="61">
        <f t="shared" si="71"/>
        <v>23</v>
      </c>
      <c r="CW146" s="61">
        <f t="shared" si="71"/>
        <v>23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42</v>
      </c>
      <c r="BB147" s="189">
        <f>IF(BB146=0,0,HLOOKUP(BB146,[1]Trav!$C$39:$G$59,$AU$166))</f>
        <v>42</v>
      </c>
      <c r="BC147" s="189">
        <f>IF(BC146=0,0,HLOOKUP(BC146,[1]Trav!$C$39:$G$59,$AU$166))</f>
        <v>42</v>
      </c>
      <c r="BD147" s="189">
        <f>IF(BD146=0,0,HLOOKUP(BD146,[1]Trav!$C$39:$G$59,$AU$166))</f>
        <v>42</v>
      </c>
      <c r="BE147" s="189">
        <f>IF(BE146=0,0,HLOOKUP(BE146,[1]Trav!$C$39:$G$59,$AU$166))</f>
        <v>42</v>
      </c>
      <c r="BF147" s="189">
        <f>IF(BF146=0,0,HLOOKUP(BF146,[1]Trav!$C$39:$G$59,$AU$166))</f>
        <v>42</v>
      </c>
      <c r="BG147" s="189">
        <f>IF(BG146=0,0,HLOOKUP(BG146,[1]Trav!$C$39:$G$59,$AU$166))</f>
        <v>42</v>
      </c>
      <c r="BH147" s="189">
        <f>IF(BH146=0,0,HLOOKUP(BH146,[1]Trav!$C$39:$G$59,$AU$166))</f>
        <v>42</v>
      </c>
      <c r="BI147" s="189">
        <f>IF(BI146=0,0,HLOOKUP(BI146,[1]Trav!$C$39:$G$59,$AU$166))</f>
        <v>42</v>
      </c>
      <c r="BJ147" s="189">
        <f>IF(BJ146=0,0,HLOOKUP(BJ146,[1]Trav!$C$39:$G$59,$AU$166))</f>
        <v>42</v>
      </c>
      <c r="BK147" s="189">
        <f>IF(BK146=0,0,HLOOKUP(BK146,[1]Trav!$C$39:$G$59,$AU$166))</f>
        <v>42</v>
      </c>
      <c r="BL147" s="189">
        <f>IF(BL146=0,0,HLOOKUP(BL146,[1]Trav!$C$39:$G$59,$AU$166))</f>
        <v>42</v>
      </c>
      <c r="BM147" s="189">
        <f>IF(BM146=0,0,HLOOKUP(BM146,[1]Trav!$C$39:$G$59,$AU$166))</f>
        <v>42</v>
      </c>
      <c r="BN147" s="189">
        <f>IF(BN146=0,0,HLOOKUP(BN146,[1]Trav!$C$39:$G$59,$AU$166))</f>
        <v>42</v>
      </c>
      <c r="BO147" s="189">
        <f>IF(BO146=0,0,HLOOKUP(BO146,[1]Trav!$C$39:$G$59,$AU$166))</f>
        <v>42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42</v>
      </c>
      <c r="CI147" s="189">
        <f>IF(CI146=0,0,HLOOKUP(CI146,[1]Trav!$C$39:$G$59,$AU$166))</f>
        <v>42</v>
      </c>
      <c r="CJ147" s="189">
        <f>IF(CJ146=0,0,HLOOKUP(CJ146,[1]Trav!$C$39:$G$59,$AU$166))</f>
        <v>42</v>
      </c>
      <c r="CK147" s="189">
        <f>IF(CK146=0,0,HLOOKUP(CK146,[1]Trav!$C$39:$G$59,$AU$166))</f>
        <v>42</v>
      </c>
      <c r="CL147" s="189">
        <f>IF(CL146=0,0,HLOOKUP(CL146,[1]Trav!$C$39:$G$59,$AU$166))</f>
        <v>42</v>
      </c>
      <c r="CM147" s="189">
        <f>IF(CM146=0,0,HLOOKUP(CM146,[1]Trav!$C$39:$G$59,$AU$166))</f>
        <v>42</v>
      </c>
      <c r="CN147" s="189">
        <f>IF(CN146=0,0,HLOOKUP(CN146,[1]Trav!$C$39:$G$59,$AU$166))</f>
        <v>42</v>
      </c>
      <c r="CO147" s="189">
        <f>IF(CO146=0,0,HLOOKUP(CO146,[1]Trav!$C$39:$G$59,$AU$166))</f>
        <v>42</v>
      </c>
      <c r="CP147" s="189">
        <f>IF(CP146=0,0,HLOOKUP(CP146,[1]Trav!$C$39:$G$59,$AU$166))</f>
        <v>42</v>
      </c>
      <c r="CQ147" s="189">
        <f>IF(CQ146=0,0,HLOOKUP(CQ146,[1]Trav!$C$39:$G$59,$AU$166))</f>
        <v>42</v>
      </c>
      <c r="CR147" s="189">
        <f>IF(CR146=0,0,HLOOKUP(CR146,[1]Trav!$C$39:$G$59,$AU$166))</f>
        <v>42</v>
      </c>
      <c r="CS147" s="189">
        <f>IF(CS146=0,0,HLOOKUP(CS146,[1]Trav!$C$39:$G$59,$AU$166))</f>
        <v>42</v>
      </c>
      <c r="CT147" s="189">
        <f>IF(CT146=0,0,HLOOKUP(CT146,[1]Trav!$C$39:$G$59,$AU$166))</f>
        <v>42</v>
      </c>
      <c r="CU147" s="189">
        <f>IF(CU146=0,0,HLOOKUP(CU146,[1]Trav!$C$39:$G$59,$AU$166))</f>
        <v>42</v>
      </c>
      <c r="CV147" s="189">
        <f>IF(CV146=0,0,HLOOKUP(CV146,[1]Trav!$C$39:$G$59,$AU$166))</f>
        <v>42</v>
      </c>
      <c r="CW147" s="189">
        <f>IF(CW146=0,0,HLOOKUP(CW146,[1]Trav!$C$39:$G$59,$AU$166))</f>
        <v>42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1.75</v>
      </c>
      <c r="CM148" s="189">
        <f>IF(CM146=0,0,HLOOKUP(CM146,[1]Trav!$C$62:$G$82,$AU$166))</f>
        <v>1.75</v>
      </c>
      <c r="CN148" s="189">
        <f>IF(CN146=0,0,HLOOKUP(CN146,[1]Trav!$C$62:$G$82,$AU$166))</f>
        <v>1.75</v>
      </c>
      <c r="CO148" s="189">
        <f>IF(CO146=0,0,HLOOKUP(CO146,[1]Trav!$C$62:$G$82,$AU$166))</f>
        <v>1.75</v>
      </c>
      <c r="CP148" s="189">
        <f>IF(CP146=0,0,HLOOKUP(CP146,[1]Trav!$C$62:$G$82,$AU$166))</f>
        <v>1.75</v>
      </c>
      <c r="CQ148" s="189">
        <f>IF(CQ146=0,0,HLOOKUP(CQ146,[1]Trav!$C$62:$G$82,$AU$166))</f>
        <v>1.75</v>
      </c>
      <c r="CR148" s="189">
        <f>IF(CR146=0,0,HLOOKUP(CR146,[1]Trav!$C$62:$G$82,$AU$166))</f>
        <v>1.75</v>
      </c>
      <c r="CS148" s="189">
        <f>IF(CS146=0,0,HLOOKUP(CS146,[1]Trav!$C$62:$G$82,$AU$166))</f>
        <v>1.75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280.60521739130434</v>
      </c>
      <c r="BH151" s="172">
        <f t="shared" si="74"/>
        <v>280.60521739130434</v>
      </c>
      <c r="BI151" s="172">
        <f t="shared" si="74"/>
        <v>280.60521739130434</v>
      </c>
      <c r="BJ151" s="172">
        <f t="shared" si="74"/>
        <v>280.60521739130434</v>
      </c>
      <c r="BK151" s="172">
        <f t="shared" si="74"/>
        <v>280.60521739130434</v>
      </c>
      <c r="BL151" s="172">
        <f t="shared" si="74"/>
        <v>280.60521739130434</v>
      </c>
      <c r="BM151" s="172">
        <f t="shared" si="74"/>
        <v>280.60521739130434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19.228000000000002</v>
      </c>
      <c r="CM151" s="172">
        <f t="shared" si="76"/>
        <v>19.228000000000002</v>
      </c>
      <c r="CN151" s="172">
        <f t="shared" si="76"/>
        <v>19.228000000000002</v>
      </c>
      <c r="CO151" s="172">
        <f t="shared" si="76"/>
        <v>19.228000000000002</v>
      </c>
      <c r="CP151" s="172">
        <f t="shared" si="76"/>
        <v>19.228000000000002</v>
      </c>
      <c r="CQ151" s="172">
        <f t="shared" si="76"/>
        <v>19.228000000000002</v>
      </c>
      <c r="CR151" s="172">
        <f t="shared" si="76"/>
        <v>18.216000000000001</v>
      </c>
      <c r="CS151" s="172">
        <f t="shared" si="76"/>
        <v>18.216000000000001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27.624347826086961</v>
      </c>
      <c r="AW152" s="172">
        <f t="shared" si="74"/>
        <v>27.624347826086961</v>
      </c>
      <c r="AX152" s="172">
        <f t="shared" si="74"/>
        <v>27.624347826086961</v>
      </c>
      <c r="AY152" s="172">
        <f t="shared" si="74"/>
        <v>27.624347826086961</v>
      </c>
      <c r="AZ152" s="172">
        <f t="shared" si="74"/>
        <v>27.624347826086961</v>
      </c>
      <c r="BA152" s="172">
        <f t="shared" si="74"/>
        <v>27.624347826086961</v>
      </c>
      <c r="BB152" s="172">
        <f t="shared" si="74"/>
        <v>27.624347826086961</v>
      </c>
      <c r="BC152" s="172">
        <f t="shared" si="74"/>
        <v>27.624347826086961</v>
      </c>
      <c r="BD152" s="172">
        <f t="shared" si="74"/>
        <v>27.624347826086961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27.624347826086961</v>
      </c>
      <c r="BP152" s="172">
        <f t="shared" si="74"/>
        <v>27.624347826086961</v>
      </c>
      <c r="BQ152" s="172">
        <f t="shared" si="74"/>
        <v>27.624347826086961</v>
      </c>
      <c r="BR152" s="172">
        <f t="shared" si="74"/>
        <v>27.624347826086961</v>
      </c>
      <c r="BS152" s="172">
        <f t="shared" si="74"/>
        <v>27.624347826086961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6.0720000000000001</v>
      </c>
      <c r="CM152" s="172">
        <f t="shared" si="76"/>
        <v>6.0720000000000001</v>
      </c>
      <c r="CN152" s="172">
        <f t="shared" si="76"/>
        <v>6.0720000000000001</v>
      </c>
      <c r="CO152" s="172">
        <f t="shared" si="76"/>
        <v>6.0720000000000001</v>
      </c>
      <c r="CP152" s="172">
        <f t="shared" si="76"/>
        <v>6.0720000000000001</v>
      </c>
      <c r="CQ152" s="172">
        <f t="shared" si="76"/>
        <v>6.0720000000000001</v>
      </c>
      <c r="CR152" s="172">
        <f t="shared" si="76"/>
        <v>6.0720000000000001</v>
      </c>
      <c r="CS152" s="172">
        <f t="shared" si="76"/>
        <v>6.0720000000000001</v>
      </c>
      <c r="CT152" s="172">
        <f t="shared" si="76"/>
        <v>5.0599999999999996</v>
      </c>
      <c r="CU152" s="172">
        <f t="shared" si="76"/>
        <v>5.0599999999999996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12.144</v>
      </c>
      <c r="CI153" s="172">
        <f t="shared" si="76"/>
        <v>12.144</v>
      </c>
      <c r="CJ153" s="172">
        <f t="shared" si="76"/>
        <v>12.144</v>
      </c>
      <c r="CK153" s="172">
        <f t="shared" si="76"/>
        <v>12.144</v>
      </c>
      <c r="CL153" s="172">
        <f t="shared" si="76"/>
        <v>12.144</v>
      </c>
      <c r="CM153" s="172">
        <f t="shared" si="76"/>
        <v>12.144</v>
      </c>
      <c r="CN153" s="172">
        <f t="shared" si="76"/>
        <v>12.144</v>
      </c>
      <c r="CO153" s="172">
        <f t="shared" si="76"/>
        <v>12.144</v>
      </c>
      <c r="CP153" s="172">
        <f t="shared" si="76"/>
        <v>12.144</v>
      </c>
      <c r="CQ153" s="172">
        <f t="shared" si="76"/>
        <v>12.144</v>
      </c>
      <c r="CR153" s="172">
        <f t="shared" si="76"/>
        <v>12.144</v>
      </c>
      <c r="CS153" s="172">
        <f t="shared" si="76"/>
        <v>12.144</v>
      </c>
      <c r="CT153" s="172">
        <f t="shared" si="76"/>
        <v>12.144</v>
      </c>
      <c r="CU153" s="172">
        <f t="shared" si="76"/>
        <v>12.144</v>
      </c>
      <c r="CV153" s="172">
        <f t="shared" si="76"/>
        <v>12.144</v>
      </c>
      <c r="CW153" s="172">
        <f t="shared" si="76"/>
        <v>12.144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8.723478260869566</v>
      </c>
      <c r="AW154" s="172">
        <f t="shared" si="74"/>
        <v>8.723478260869566</v>
      </c>
      <c r="AX154" s="172">
        <f t="shared" si="74"/>
        <v>8.723478260869566</v>
      </c>
      <c r="AY154" s="172">
        <f t="shared" si="74"/>
        <v>8.723478260869566</v>
      </c>
      <c r="AZ154" s="172">
        <f t="shared" si="74"/>
        <v>8.723478260869566</v>
      </c>
      <c r="BA154" s="172">
        <f t="shared" si="74"/>
        <v>8.723478260869566</v>
      </c>
      <c r="BB154" s="172">
        <f t="shared" si="74"/>
        <v>8.723478260869566</v>
      </c>
      <c r="BC154" s="172">
        <f t="shared" si="74"/>
        <v>8.723478260869566</v>
      </c>
      <c r="BD154" s="172">
        <f t="shared" si="74"/>
        <v>8.723478260869566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8.723478260869566</v>
      </c>
      <c r="BP154" s="172">
        <f t="shared" si="74"/>
        <v>8.723478260869566</v>
      </c>
      <c r="BQ154" s="172">
        <f t="shared" si="74"/>
        <v>8.723478260869566</v>
      </c>
      <c r="BR154" s="172">
        <f t="shared" si="74"/>
        <v>8.723478260869566</v>
      </c>
      <c r="BS154" s="172">
        <f t="shared" si="74"/>
        <v>8.723478260869566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402.73391304347831</v>
      </c>
      <c r="AW160" s="61">
        <f t="shared" ref="AW160:BS160" si="83">SUM(AW151:AW159)</f>
        <v>399.82608695652175</v>
      </c>
      <c r="AX160" s="61">
        <f t="shared" si="83"/>
        <v>396.9182608695653</v>
      </c>
      <c r="AY160" s="61">
        <f t="shared" si="83"/>
        <v>395.46434782608696</v>
      </c>
      <c r="AZ160" s="61">
        <f t="shared" si="83"/>
        <v>394.01043478260874</v>
      </c>
      <c r="BA160" s="61">
        <f t="shared" si="83"/>
        <v>392.5565217391304</v>
      </c>
      <c r="BB160" s="61">
        <f t="shared" si="83"/>
        <v>391.10260869565218</v>
      </c>
      <c r="BC160" s="61">
        <f t="shared" si="83"/>
        <v>389.64869565217396</v>
      </c>
      <c r="BD160" s="61">
        <f t="shared" si="83"/>
        <v>386.74086956521739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356.2086956521739</v>
      </c>
      <c r="BH160" s="61">
        <f t="shared" si="83"/>
        <v>356.2086956521739</v>
      </c>
      <c r="BI160" s="61">
        <f t="shared" si="83"/>
        <v>356.2086956521739</v>
      </c>
      <c r="BJ160" s="61">
        <f t="shared" si="83"/>
        <v>356.2086956521739</v>
      </c>
      <c r="BK160" s="61">
        <f t="shared" si="83"/>
        <v>356.2086956521739</v>
      </c>
      <c r="BL160" s="61">
        <f t="shared" si="83"/>
        <v>356.2086956521739</v>
      </c>
      <c r="BM160" s="61">
        <f t="shared" si="83"/>
        <v>356.2086956521739</v>
      </c>
      <c r="BN160" s="61">
        <f t="shared" si="83"/>
        <v>356.2086956521739</v>
      </c>
      <c r="BO160" s="61">
        <f t="shared" si="83"/>
        <v>343.12347826086966</v>
      </c>
      <c r="BP160" s="61">
        <f t="shared" si="83"/>
        <v>343.12347826086966</v>
      </c>
      <c r="BQ160" s="61">
        <f t="shared" si="83"/>
        <v>402.73391304347831</v>
      </c>
      <c r="BR160" s="61">
        <f t="shared" si="83"/>
        <v>402.73391304347831</v>
      </c>
      <c r="BS160" s="61">
        <f t="shared" si="83"/>
        <v>402.73391304347831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0</v>
      </c>
      <c r="D161" s="262">
        <f t="shared" si="50"/>
        <v>0</v>
      </c>
      <c r="AT161" s="188" t="s">
        <v>844</v>
      </c>
      <c r="AV161" s="172">
        <f>IF($AT$62="OL",AV160/50,AV160/10)</f>
        <v>8.0546782608695668</v>
      </c>
      <c r="AW161" s="172">
        <f t="shared" ref="AW161:BS161" si="86">IF($AT$62="OL",AW160/50,AW160/10)</f>
        <v>7.9965217391304346</v>
      </c>
      <c r="AX161" s="172">
        <f t="shared" si="86"/>
        <v>7.938365217391306</v>
      </c>
      <c r="AY161" s="172">
        <f t="shared" si="86"/>
        <v>7.909286956521739</v>
      </c>
      <c r="AZ161" s="172">
        <f t="shared" si="86"/>
        <v>7.8802086956521746</v>
      </c>
      <c r="BA161" s="172">
        <f t="shared" si="86"/>
        <v>7.8511304347826076</v>
      </c>
      <c r="BB161" s="172">
        <f t="shared" si="86"/>
        <v>7.8220521739130433</v>
      </c>
      <c r="BC161" s="172">
        <f t="shared" si="86"/>
        <v>7.792973913043479</v>
      </c>
      <c r="BD161" s="172">
        <f t="shared" si="86"/>
        <v>7.7348173913043476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7.124173913043478</v>
      </c>
      <c r="BH161" s="172">
        <f t="shared" si="86"/>
        <v>7.124173913043478</v>
      </c>
      <c r="BI161" s="172">
        <f t="shared" si="86"/>
        <v>7.124173913043478</v>
      </c>
      <c r="BJ161" s="172">
        <f t="shared" si="86"/>
        <v>7.124173913043478</v>
      </c>
      <c r="BK161" s="172">
        <f t="shared" si="86"/>
        <v>7.124173913043478</v>
      </c>
      <c r="BL161" s="172">
        <f t="shared" si="86"/>
        <v>7.124173913043478</v>
      </c>
      <c r="BM161" s="172">
        <f t="shared" si="86"/>
        <v>7.124173913043478</v>
      </c>
      <c r="BN161" s="172">
        <f t="shared" si="86"/>
        <v>7.124173913043478</v>
      </c>
      <c r="BO161" s="172">
        <f t="shared" si="86"/>
        <v>6.8624695652173928</v>
      </c>
      <c r="BP161" s="172">
        <f t="shared" si="86"/>
        <v>6.8624695652173928</v>
      </c>
      <c r="BQ161" s="172">
        <f t="shared" si="86"/>
        <v>8.0546782608695668</v>
      </c>
      <c r="BR161" s="172">
        <f t="shared" si="86"/>
        <v>8.0546782608695668</v>
      </c>
      <c r="BS161" s="172">
        <f t="shared" si="86"/>
        <v>8.0546782608695668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225.16934381078266</v>
      </c>
      <c r="D162" s="262">
        <f t="shared" si="50"/>
        <v>247.68627819186091</v>
      </c>
      <c r="AT162" s="188" t="s">
        <v>846</v>
      </c>
      <c r="AV162" s="172">
        <f>IF(AV161&gt;1,AV161-1,0)</f>
        <v>7.0546782608695668</v>
      </c>
      <c r="AW162" s="172">
        <f t="shared" ref="AW162:BS162" si="89">IF(AW161&gt;1,AW161-1,0)</f>
        <v>6.9965217391304346</v>
      </c>
      <c r="AX162" s="172">
        <f t="shared" si="89"/>
        <v>6.938365217391306</v>
      </c>
      <c r="AY162" s="172">
        <f t="shared" si="89"/>
        <v>6.909286956521739</v>
      </c>
      <c r="AZ162" s="172">
        <f t="shared" si="89"/>
        <v>6.8802086956521746</v>
      </c>
      <c r="BA162" s="172">
        <f t="shared" si="89"/>
        <v>6.8511304347826076</v>
      </c>
      <c r="BB162" s="172">
        <f t="shared" si="89"/>
        <v>6.8220521739130433</v>
      </c>
      <c r="BC162" s="172">
        <f t="shared" si="89"/>
        <v>6.792973913043479</v>
      </c>
      <c r="BD162" s="172">
        <f t="shared" si="89"/>
        <v>6.7348173913043476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6.124173913043478</v>
      </c>
      <c r="BH162" s="172">
        <f t="shared" si="89"/>
        <v>6.124173913043478</v>
      </c>
      <c r="BI162" s="172">
        <f t="shared" si="89"/>
        <v>6.124173913043478</v>
      </c>
      <c r="BJ162" s="172">
        <f t="shared" si="89"/>
        <v>6.124173913043478</v>
      </c>
      <c r="BK162" s="172">
        <f t="shared" si="89"/>
        <v>6.124173913043478</v>
      </c>
      <c r="BL162" s="172">
        <f t="shared" si="89"/>
        <v>6.124173913043478</v>
      </c>
      <c r="BM162" s="172">
        <f t="shared" si="89"/>
        <v>6.124173913043478</v>
      </c>
      <c r="BN162" s="172">
        <f t="shared" si="89"/>
        <v>6.124173913043478</v>
      </c>
      <c r="BO162" s="172">
        <f t="shared" si="89"/>
        <v>5.8624695652173928</v>
      </c>
      <c r="BP162" s="172">
        <f t="shared" si="89"/>
        <v>5.8624695652173928</v>
      </c>
      <c r="BQ162" s="172">
        <f t="shared" si="89"/>
        <v>7.0546782608695668</v>
      </c>
      <c r="BR162" s="172">
        <f t="shared" si="89"/>
        <v>7.0546782608695668</v>
      </c>
      <c r="BS162" s="172">
        <f t="shared" si="89"/>
        <v>7.0546782608695668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54.345686956521746</v>
      </c>
      <c r="AW163" s="61">
        <f t="shared" ref="AW163:BS163" si="92">AW147+AW148*AW162</f>
        <v>54.243913043478258</v>
      </c>
      <c r="AX163" s="61">
        <f t="shared" si="92"/>
        <v>54.142139130434785</v>
      </c>
      <c r="AY163" s="61">
        <f t="shared" si="92"/>
        <v>54.091252173913041</v>
      </c>
      <c r="AZ163" s="61">
        <f t="shared" si="92"/>
        <v>54.040365217391304</v>
      </c>
      <c r="BA163" s="61">
        <f t="shared" si="92"/>
        <v>53.989478260869561</v>
      </c>
      <c r="BB163" s="61">
        <f t="shared" si="92"/>
        <v>53.938591304347824</v>
      </c>
      <c r="BC163" s="61">
        <f t="shared" si="92"/>
        <v>53.887704347826087</v>
      </c>
      <c r="BD163" s="61">
        <f t="shared" si="92"/>
        <v>53.785930434782607</v>
      </c>
      <c r="BE163" s="61">
        <f t="shared" si="92"/>
        <v>52.717304347826087</v>
      </c>
      <c r="BF163" s="61">
        <f t="shared" si="92"/>
        <v>52.717304347826087</v>
      </c>
      <c r="BG163" s="61">
        <f t="shared" si="92"/>
        <v>52.717304347826087</v>
      </c>
      <c r="BH163" s="61">
        <f t="shared" si="92"/>
        <v>52.717304347826087</v>
      </c>
      <c r="BI163" s="61">
        <f t="shared" si="92"/>
        <v>52.717304347826087</v>
      </c>
      <c r="BJ163" s="61">
        <f t="shared" si="92"/>
        <v>52.717304347826087</v>
      </c>
      <c r="BK163" s="61">
        <f t="shared" si="92"/>
        <v>52.717304347826087</v>
      </c>
      <c r="BL163" s="61">
        <f t="shared" si="92"/>
        <v>52.717304347826087</v>
      </c>
      <c r="BM163" s="61">
        <f t="shared" si="92"/>
        <v>52.717304347826087</v>
      </c>
      <c r="BN163" s="61">
        <f t="shared" si="92"/>
        <v>52.717304347826087</v>
      </c>
      <c r="BO163" s="61">
        <f t="shared" si="92"/>
        <v>52.259321739130435</v>
      </c>
      <c r="BP163" s="61">
        <f t="shared" si="92"/>
        <v>52.259321739130435</v>
      </c>
      <c r="BQ163" s="61">
        <f t="shared" si="92"/>
        <v>54.345686956521746</v>
      </c>
      <c r="BR163" s="61">
        <f t="shared" si="92"/>
        <v>54.345686956521746</v>
      </c>
      <c r="BS163" s="61">
        <f t="shared" si="92"/>
        <v>54.345686956521746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42</v>
      </c>
      <c r="CI163" s="61">
        <f t="shared" si="93"/>
        <v>42</v>
      </c>
      <c r="CJ163" s="61">
        <f t="shared" si="93"/>
        <v>42</v>
      </c>
      <c r="CK163" s="61">
        <f t="shared" si="93"/>
        <v>42</v>
      </c>
      <c r="CL163" s="61">
        <f t="shared" si="93"/>
        <v>42</v>
      </c>
      <c r="CM163" s="61">
        <f t="shared" si="93"/>
        <v>42</v>
      </c>
      <c r="CN163" s="61">
        <f t="shared" si="93"/>
        <v>42</v>
      </c>
      <c r="CO163" s="61">
        <f t="shared" si="93"/>
        <v>42</v>
      </c>
      <c r="CP163" s="61">
        <f t="shared" si="93"/>
        <v>42</v>
      </c>
      <c r="CQ163" s="61">
        <f t="shared" si="93"/>
        <v>42</v>
      </c>
      <c r="CR163" s="61">
        <f t="shared" si="93"/>
        <v>42</v>
      </c>
      <c r="CS163" s="61">
        <f t="shared" si="93"/>
        <v>42</v>
      </c>
      <c r="CT163" s="61">
        <f t="shared" si="93"/>
        <v>42</v>
      </c>
      <c r="CU163" s="61">
        <f t="shared" si="93"/>
        <v>42</v>
      </c>
      <c r="CV163" s="61">
        <f t="shared" si="93"/>
        <v>42</v>
      </c>
      <c r="CW163" s="61">
        <f t="shared" si="93"/>
        <v>42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0</v>
      </c>
      <c r="D165" s="262">
        <f t="shared" si="50"/>
        <v>0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117.52107348022223</v>
      </c>
      <c r="D166" s="262">
        <f t="shared" si="50"/>
        <v>129.27318082824445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0</v>
      </c>
      <c r="BB167" s="189">
        <f>IF(BB121&gt;0,HLOOKUP(BB121,[1]Trav!$C$11:$O$31,$AU$166),0)</f>
        <v>0</v>
      </c>
      <c r="BC167" s="189">
        <f>IF(BC121&gt;0,HLOOKUP(BC121,[1]Trav!$C$11:$O$31,$AU$166),0)</f>
        <v>0</v>
      </c>
      <c r="BD167" s="189">
        <f>IF(BD121&gt;0,HLOOKUP(BD121,[1]Trav!$C$11:$O$31,$AU$166),0)</f>
        <v>0</v>
      </c>
      <c r="BE167" s="189">
        <f>IF(BE121&gt;0,HLOOKUP(BE121,[1]Trav!$C$11:$O$31,$AU$166),0)</f>
        <v>0</v>
      </c>
      <c r="BF167" s="189">
        <f>IF(BF121&gt;0,HLOOKUP(BF121,[1]Trav!$C$11:$O$31,$AU$166),0)</f>
        <v>0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0</v>
      </c>
      <c r="BO167" s="189">
        <f>IF(BO121&gt;0,HLOOKUP(BO121,[1]Trav!$C$11:$O$31,$AU$166),0)</f>
        <v>0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21</v>
      </c>
      <c r="CI167" s="189">
        <f>IF(CI121&gt;0,HLOOKUP(CI121,[1]Trav!$C$11:$O$31,$AU$166),0)</f>
        <v>21</v>
      </c>
      <c r="CJ167" s="189">
        <f>IF(CJ121&gt;0,HLOOKUP(CJ121,[1]Trav!$C$11:$O$31,$AU$166),0)</f>
        <v>21</v>
      </c>
      <c r="CK167" s="189">
        <f>IF(CK121&gt;0,HLOOKUP(CK121,[1]Trav!$C$11:$O$31,$AU$166),0)</f>
        <v>21</v>
      </c>
      <c r="CL167" s="189">
        <f>IF(CL121&gt;0,HLOOKUP(CL121,[1]Trav!$C$11:$O$31,$AU$166),0)</f>
        <v>21</v>
      </c>
      <c r="CM167" s="189">
        <f>IF(CM121&gt;0,HLOOKUP(CM121,[1]Trav!$C$11:$O$31,$AU$166),0)</f>
        <v>21</v>
      </c>
      <c r="CN167" s="189">
        <f>IF(CN121&gt;0,HLOOKUP(CN121,[1]Trav!$C$11:$O$31,$AU$166),0)</f>
        <v>21</v>
      </c>
      <c r="CO167" s="189">
        <f>IF(CO121&gt;0,HLOOKUP(CO121,[1]Trav!$C$11:$O$31,$AU$166),0)</f>
        <v>21</v>
      </c>
      <c r="CP167" s="189">
        <f>IF(CP121&gt;0,HLOOKUP(CP121,[1]Trav!$C$11:$O$31,$AU$166),0)</f>
        <v>21</v>
      </c>
      <c r="CQ167" s="189">
        <f>IF(CQ121&gt;0,HLOOKUP(CQ121,[1]Trav!$C$11:$O$31,$AU$166),0)</f>
        <v>21</v>
      </c>
      <c r="CR167" s="189">
        <f>IF(CR121&gt;0,HLOOKUP(CR121,[1]Trav!$C$11:$O$31,$AU$166),0)</f>
        <v>21</v>
      </c>
      <c r="CS167" s="189">
        <f>IF(CS121&gt;0,HLOOKUP(CS121,[1]Trav!$C$11:$O$31,$AU$166),0)</f>
        <v>21</v>
      </c>
      <c r="CT167" s="189">
        <f>IF(CT121&gt;0,HLOOKUP(CT121,[1]Trav!$C$11:$O$31,$AU$166),0)</f>
        <v>21</v>
      </c>
      <c r="CU167" s="189">
        <f>IF(CU121&gt;0,HLOOKUP(CU121,[1]Trav!$C$11:$O$31,$AU$166),0)</f>
        <v>21</v>
      </c>
      <c r="CV167" s="189">
        <f>IF(CV121&gt;0,HLOOKUP(CV121,[1]Trav!$C$11:$O$31,$AU$166),0)</f>
        <v>21</v>
      </c>
      <c r="CW167" s="189">
        <f>IF(CW121&gt;0,HLOOKUP(CW121,[1]Trav!$C$11:$O$31,$AU$166),0)</f>
        <v>21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0</v>
      </c>
      <c r="AW168" s="189">
        <f>IF(AW122&gt;0,HLOOKUP(AW122,[1]Trav!$C$11:$O$31,$AU$166),0)</f>
        <v>0</v>
      </c>
      <c r="AX168" s="189">
        <f>IF(AX122&gt;0,HLOOKUP(AX122,[1]Trav!$C$11:$O$31,$AU$166),0)</f>
        <v>0</v>
      </c>
      <c r="AY168" s="189">
        <f>IF(AY122&gt;0,HLOOKUP(AY122,[1]Trav!$C$11:$O$31,$AU$166),0)</f>
        <v>0</v>
      </c>
      <c r="AZ168" s="189">
        <f>IF(AZ122&gt;0,HLOOKUP(AZ122,[1]Trav!$C$11:$O$31,$AU$166),0)</f>
        <v>0</v>
      </c>
      <c r="BA168" s="189">
        <f>IF(BA122&gt;0,HLOOKUP(BA122,[1]Trav!$C$11:$O$31,$AU$166),0)</f>
        <v>0</v>
      </c>
      <c r="BB168" s="189">
        <f>IF(BB122&gt;0,HLOOKUP(BB122,[1]Trav!$C$11:$O$31,$AU$166),0)</f>
        <v>0</v>
      </c>
      <c r="BC168" s="189">
        <f>IF(BC122&gt;0,HLOOKUP(BC122,[1]Trav!$C$11:$O$31,$AU$166),0)</f>
        <v>0</v>
      </c>
      <c r="BD168" s="189">
        <f>IF(BD122&gt;0,HLOOKUP(BD122,[1]Trav!$C$11:$O$31,$AU$166),0)</f>
        <v>0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0</v>
      </c>
      <c r="BP168" s="189">
        <f>IF(BP122&gt;0,HLOOKUP(BP122,[1]Trav!$C$11:$O$31,$AU$166),0)</f>
        <v>0</v>
      </c>
      <c r="BQ168" s="189">
        <f>IF(BQ122&gt;0,HLOOKUP(BQ122,[1]Trav!$C$11:$O$31,$AU$166),0)</f>
        <v>0</v>
      </c>
      <c r="BR168" s="189">
        <f>IF(BR122&gt;0,HLOOKUP(BR122,[1]Trav!$C$11:$O$31,$AU$166),0)</f>
        <v>0</v>
      </c>
      <c r="BS168" s="189">
        <f>IF(BS122&gt;0,HLOOKUP(BS122,[1]Trav!$C$11:$O$31,$AU$166),0)</f>
        <v>0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21</v>
      </c>
      <c r="CH168" s="189">
        <f>IF(CH122&gt;0,HLOOKUP(CH122,[1]Trav!$C$11:$O$31,$AU$166),0)</f>
        <v>21</v>
      </c>
      <c r="CI168" s="189">
        <f>IF(CI122&gt;0,HLOOKUP(CI122,[1]Trav!$C$11:$O$31,$AU$166),0)</f>
        <v>21</v>
      </c>
      <c r="CJ168" s="189">
        <f>IF(CJ122&gt;0,HLOOKUP(CJ122,[1]Trav!$C$11:$O$31,$AU$166),0)</f>
        <v>21</v>
      </c>
      <c r="CK168" s="189">
        <f>IF(CK122&gt;0,HLOOKUP(CK122,[1]Trav!$C$11:$O$31,$AU$166),0)</f>
        <v>21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21</v>
      </c>
      <c r="CW168" s="189">
        <f>IF(CW122&gt;0,HLOOKUP(CW122,[1]Trav!$C$11:$O$31,$AU$166),0)</f>
        <v>21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0</v>
      </c>
      <c r="D169" s="262">
        <f t="shared" si="50"/>
        <v>0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0</v>
      </c>
      <c r="BB169" s="189">
        <f>IF(BB123&gt;0,HLOOKUP(BB123,[1]Trav!$C$11:$O$31,$AU$166),0)</f>
        <v>0</v>
      </c>
      <c r="BC169" s="189">
        <f>IF(BC123&gt;0,HLOOKUP(BC123,[1]Trav!$C$11:$O$31,$AU$166),0)</f>
        <v>0</v>
      </c>
      <c r="BD169" s="189">
        <f>IF(BD123&gt;0,HLOOKUP(BD123,[1]Trav!$C$11:$O$31,$AU$166),0)</f>
        <v>0</v>
      </c>
      <c r="BE169" s="189">
        <f>IF(BE123&gt;0,HLOOKUP(BE123,[1]Trav!$C$11:$O$31,$AU$166),0)</f>
        <v>0</v>
      </c>
      <c r="BF169" s="189">
        <f>IF(BF123&gt;0,HLOOKUP(BF123,[1]Trav!$C$11:$O$31,$AU$166),0)</f>
        <v>0</v>
      </c>
      <c r="BG169" s="189">
        <f>IF(BG123&gt;0,HLOOKUP(BG123,[1]Trav!$C$11:$O$31,$AU$166),0)</f>
        <v>0</v>
      </c>
      <c r="BH169" s="189">
        <f>IF(BH123&gt;0,HLOOKUP(BH123,[1]Trav!$C$11:$O$31,$AU$166),0)</f>
        <v>0</v>
      </c>
      <c r="BI169" s="189">
        <f>IF(BI123&gt;0,HLOOKUP(BI123,[1]Trav!$C$11:$O$31,$AU$166),0)</f>
        <v>0</v>
      </c>
      <c r="BJ169" s="189">
        <f>IF(BJ123&gt;0,HLOOKUP(BJ123,[1]Trav!$C$11:$O$31,$AU$166),0)</f>
        <v>0</v>
      </c>
      <c r="BK169" s="189">
        <f>IF(BK123&gt;0,HLOOKUP(BK123,[1]Trav!$C$11:$O$31,$AU$166),0)</f>
        <v>0</v>
      </c>
      <c r="BL169" s="189">
        <f>IF(BL123&gt;0,HLOOKUP(BL123,[1]Trav!$C$11:$O$31,$AU$166),0)</f>
        <v>0</v>
      </c>
      <c r="BM169" s="189">
        <f>IF(BM123&gt;0,HLOOKUP(BM123,[1]Trav!$C$11:$O$31,$AU$166),0)</f>
        <v>0</v>
      </c>
      <c r="BN169" s="189">
        <f>IF(BN123&gt;0,HLOOKUP(BN123,[1]Trav!$C$11:$O$31,$AU$166),0)</f>
        <v>0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0</v>
      </c>
      <c r="CI169" s="189">
        <f>IF(CI123&gt;0,HLOOKUP(CI123,[1]Trav!$C$11:$O$31,$AU$166),0)</f>
        <v>0</v>
      </c>
      <c r="CJ169" s="189">
        <f>IF(CJ123&gt;0,HLOOKUP(CJ123,[1]Trav!$C$11:$O$31,$AU$166),0)</f>
        <v>0</v>
      </c>
      <c r="CK169" s="189">
        <f>IF(CK123&gt;0,HLOOKUP(CK123,[1]Trav!$C$11:$O$31,$AU$166),0)</f>
        <v>0</v>
      </c>
      <c r="CL169" s="189">
        <f>IF(CL123&gt;0,HLOOKUP(CL123,[1]Trav!$C$11:$O$31,$AU$166),0)</f>
        <v>0</v>
      </c>
      <c r="CM169" s="189">
        <f>IF(CM123&gt;0,HLOOKUP(CM123,[1]Trav!$C$11:$O$31,$AU$166),0)</f>
        <v>0</v>
      </c>
      <c r="CN169" s="189">
        <f>IF(CN123&gt;0,HLOOKUP(CN123,[1]Trav!$C$11:$O$31,$AU$166),0)</f>
        <v>0</v>
      </c>
      <c r="CO169" s="189">
        <f>IF(CO123&gt;0,HLOOKUP(CO123,[1]Trav!$C$11:$O$31,$AU$166),0)</f>
        <v>0</v>
      </c>
      <c r="CP169" s="189">
        <f>IF(CP123&gt;0,HLOOKUP(CP123,[1]Trav!$C$11:$O$31,$AU$166),0)</f>
        <v>0</v>
      </c>
      <c r="CQ169" s="189">
        <f>IF(CQ123&gt;0,HLOOKUP(CQ123,[1]Trav!$C$11:$O$31,$AU$166),0)</f>
        <v>0</v>
      </c>
      <c r="CR169" s="189">
        <f>IF(CR123&gt;0,HLOOKUP(CR123,[1]Trav!$C$11:$O$31,$AU$166),0)</f>
        <v>0</v>
      </c>
      <c r="CS169" s="189">
        <f>IF(CS123&gt;0,HLOOKUP(CS123,[1]Trav!$C$11:$O$31,$AU$166),0)</f>
        <v>0</v>
      </c>
      <c r="CT169" s="189">
        <f>IF(CT123&gt;0,HLOOKUP(CT123,[1]Trav!$C$11:$O$31,$AU$166),0)</f>
        <v>0</v>
      </c>
      <c r="CU169" s="189">
        <f>IF(CU123&gt;0,HLOOKUP(CU123,[1]Trav!$C$11:$O$31,$AU$166),0)</f>
        <v>0</v>
      </c>
      <c r="CV169" s="189">
        <f>IF(CV123&gt;0,HLOOKUP(CV123,[1]Trav!$C$11:$O$31,$AU$166),0)</f>
        <v>0</v>
      </c>
      <c r="CW169" s="189">
        <f>IF(CW123&gt;0,HLOOKUP(CW123,[1]Trav!$C$11:$O$31,$AU$166),0)</f>
        <v>0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0</v>
      </c>
      <c r="D170" s="262">
        <f t="shared" si="50"/>
        <v>0</v>
      </c>
      <c r="AT170" s="188" t="str">
        <f t="shared" si="95"/>
        <v>beliers</v>
      </c>
      <c r="AV170" s="189">
        <f>IF(AV124&gt;0,HLOOKUP(AV124,[1]Trav!$C$11:$O$31,$AU$166),0)</f>
        <v>0</v>
      </c>
      <c r="AW170" s="189">
        <f>IF(AW124&gt;0,HLOOKUP(AW124,[1]Trav!$C$11:$O$31,$AU$166),0)</f>
        <v>0</v>
      </c>
      <c r="AX170" s="189">
        <f>IF(AX124&gt;0,HLOOKUP(AX124,[1]Trav!$C$11:$O$31,$AU$166),0)</f>
        <v>0</v>
      </c>
      <c r="AY170" s="189">
        <f>IF(AY124&gt;0,HLOOKUP(AY124,[1]Trav!$C$11:$O$31,$AU$166),0)</f>
        <v>0</v>
      </c>
      <c r="AZ170" s="189">
        <f>IF(AZ124&gt;0,HLOOKUP(AZ124,[1]Trav!$C$11:$O$31,$AU$166),0)</f>
        <v>0</v>
      </c>
      <c r="BA170" s="189">
        <f>IF(BA124&gt;0,HLOOKUP(BA124,[1]Trav!$C$11:$O$31,$AU$166),0)</f>
        <v>0</v>
      </c>
      <c r="BB170" s="189">
        <f>IF(BB124&gt;0,HLOOKUP(BB124,[1]Trav!$C$11:$O$31,$AU$166),0)</f>
        <v>0</v>
      </c>
      <c r="BC170" s="189">
        <f>IF(BC124&gt;0,HLOOKUP(BC124,[1]Trav!$C$11:$O$31,$AU$166),0)</f>
        <v>0</v>
      </c>
      <c r="BD170" s="189">
        <f>IF(BD124&gt;0,HLOOKUP(BD124,[1]Trav!$C$11:$O$31,$AU$166),0)</f>
        <v>0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0</v>
      </c>
      <c r="BP170" s="189">
        <f>IF(BP124&gt;0,HLOOKUP(BP124,[1]Trav!$C$11:$O$31,$AU$166),0)</f>
        <v>0</v>
      </c>
      <c r="BQ170" s="189">
        <f>IF(BQ124&gt;0,HLOOKUP(BQ124,[1]Trav!$C$11:$O$31,$AU$166),0)</f>
        <v>0</v>
      </c>
      <c r="BR170" s="189">
        <f>IF(BR124&gt;0,HLOOKUP(BR124,[1]Trav!$C$11:$O$31,$AU$166),0)</f>
        <v>0</v>
      </c>
      <c r="BS170" s="189">
        <f>IF(BS124&gt;0,HLOOKUP(BS124,[1]Trav!$C$11:$O$31,$AU$166),0)</f>
        <v>0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165.2</v>
      </c>
      <c r="D171" s="262">
        <f t="shared" si="50"/>
        <v>181.72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342.70000000000005</v>
      </c>
      <c r="D172" s="262">
        <f t="shared" si="50"/>
        <v>376.97000000000008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0</v>
      </c>
      <c r="D173" s="262">
        <f t="shared" si="50"/>
        <v>0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 t="e">
        <f>ROUND((1 -(C173/C169))*100,1)</f>
        <v>#DIV/0!</v>
      </c>
      <c r="D174" s="262" t="e">
        <f t="shared" si="50"/>
        <v>#DIV/0!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-177.50000000000006</v>
      </c>
      <c r="D175" s="262">
        <f>C175*$D$82/$C$82</f>
        <v>-195.25000000000006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177.50000000000006</v>
      </c>
      <c r="D176" s="262">
        <f>C176*$D$82/$C$82</f>
        <v>195.25000000000006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48</v>
      </c>
      <c r="D178" s="172">
        <f>ROUND((D170+D171)/(D170+D172),2)*100</f>
        <v>48</v>
      </c>
      <c r="AT178" s="40" t="s">
        <v>865</v>
      </c>
      <c r="AV178" s="172">
        <f>SUM(AV167:AV176)</f>
        <v>0</v>
      </c>
      <c r="AW178" s="172">
        <f t="shared" ref="AW178:BS178" si="98">SUM(AW167:AW176)</f>
        <v>0</v>
      </c>
      <c r="AX178" s="172">
        <f t="shared" si="98"/>
        <v>0</v>
      </c>
      <c r="AY178" s="172">
        <f t="shared" si="98"/>
        <v>0</v>
      </c>
      <c r="AZ178" s="172">
        <f t="shared" si="98"/>
        <v>0</v>
      </c>
      <c r="BA178" s="172">
        <f t="shared" si="98"/>
        <v>0</v>
      </c>
      <c r="BB178" s="172">
        <f t="shared" si="98"/>
        <v>0</v>
      </c>
      <c r="BC178" s="172">
        <f t="shared" si="98"/>
        <v>0</v>
      </c>
      <c r="BD178" s="172">
        <f t="shared" si="98"/>
        <v>0</v>
      </c>
      <c r="BE178" s="172">
        <f t="shared" si="98"/>
        <v>0</v>
      </c>
      <c r="BF178" s="172">
        <f t="shared" si="98"/>
        <v>0</v>
      </c>
      <c r="BG178" s="172">
        <f t="shared" si="98"/>
        <v>0</v>
      </c>
      <c r="BH178" s="172">
        <f t="shared" si="98"/>
        <v>0</v>
      </c>
      <c r="BI178" s="172">
        <f t="shared" si="98"/>
        <v>0</v>
      </c>
      <c r="BJ178" s="172">
        <f t="shared" si="98"/>
        <v>0</v>
      </c>
      <c r="BK178" s="172">
        <f t="shared" si="98"/>
        <v>0</v>
      </c>
      <c r="BL178" s="172">
        <f t="shared" si="98"/>
        <v>0</v>
      </c>
      <c r="BM178" s="172">
        <f t="shared" si="98"/>
        <v>0</v>
      </c>
      <c r="BN178" s="172">
        <f t="shared" si="98"/>
        <v>0</v>
      </c>
      <c r="BO178" s="172">
        <f t="shared" si="98"/>
        <v>0</v>
      </c>
      <c r="BP178" s="172">
        <f t="shared" si="98"/>
        <v>0</v>
      </c>
      <c r="BQ178" s="172">
        <f t="shared" si="98"/>
        <v>0</v>
      </c>
      <c r="BR178" s="172">
        <f t="shared" si="98"/>
        <v>0</v>
      </c>
      <c r="BS178" s="172">
        <f t="shared" si="98"/>
        <v>0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42</v>
      </c>
      <c r="CH178" s="172">
        <f t="shared" si="99"/>
        <v>42</v>
      </c>
      <c r="CI178" s="172">
        <f t="shared" si="99"/>
        <v>42</v>
      </c>
      <c r="CJ178" s="172">
        <f t="shared" si="99"/>
        <v>42</v>
      </c>
      <c r="CK178" s="172">
        <f t="shared" si="99"/>
        <v>42</v>
      </c>
      <c r="CL178" s="172">
        <f t="shared" si="99"/>
        <v>42</v>
      </c>
      <c r="CM178" s="172">
        <f t="shared" si="99"/>
        <v>42</v>
      </c>
      <c r="CN178" s="172">
        <f t="shared" si="99"/>
        <v>42</v>
      </c>
      <c r="CO178" s="172">
        <f t="shared" si="99"/>
        <v>42</v>
      </c>
      <c r="CP178" s="172">
        <f t="shared" si="99"/>
        <v>42</v>
      </c>
      <c r="CQ178" s="172">
        <f t="shared" si="99"/>
        <v>42</v>
      </c>
      <c r="CR178" s="172">
        <f t="shared" si="99"/>
        <v>42</v>
      </c>
      <c r="CS178" s="172">
        <f t="shared" si="99"/>
        <v>42</v>
      </c>
      <c r="CT178" s="172">
        <f t="shared" si="99"/>
        <v>42</v>
      </c>
      <c r="CU178" s="172">
        <f t="shared" si="99"/>
        <v>42</v>
      </c>
      <c r="CV178" s="172">
        <f t="shared" si="99"/>
        <v>42</v>
      </c>
      <c r="CW178" s="172">
        <f t="shared" si="99"/>
        <v>42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0</v>
      </c>
      <c r="D183" s="263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2">
        <f>Protection!AK26</f>
        <v>0</v>
      </c>
      <c r="D184" s="264">
        <f>C184*D82/C82</f>
        <v>0</v>
      </c>
    </row>
    <row r="185" spans="1:132" x14ac:dyDescent="0.25">
      <c r="B185" s="14" t="s">
        <v>1297</v>
      </c>
      <c r="C185" s="172">
        <f>IF(C183=0,0,ROUND(C183/C184,0))</f>
        <v>0</v>
      </c>
      <c r="D185" s="172">
        <f>C185</f>
        <v>0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</v>
      </c>
      <c r="D187" s="172">
        <f>C187</f>
        <v>0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2</v>
      </c>
      <c r="D189" s="172">
        <f t="shared" si="101"/>
        <v>2</v>
      </c>
      <c r="AH189" s="15"/>
      <c r="AJ189" s="14" t="s">
        <v>1114</v>
      </c>
      <c r="AK189" s="30">
        <f>D189</f>
        <v>2</v>
      </c>
      <c r="AO189" s="172">
        <f>ROUND((([1]Protect!$B$5/[1]Protect!$B$11)+[1]Protect!$B$8)*AK189,0)</f>
        <v>1809</v>
      </c>
    </row>
    <row r="190" spans="1:132" x14ac:dyDescent="0.25">
      <c r="B190" s="14" t="s">
        <v>1302</v>
      </c>
      <c r="C190" s="172">
        <f>'Calcul éco'!T246*(30)</f>
        <v>0</v>
      </c>
      <c r="D190" s="172">
        <f>C190</f>
        <v>0</v>
      </c>
      <c r="AH190" s="15"/>
      <c r="AJ190" s="14" t="s">
        <v>1115</v>
      </c>
      <c r="AK190" s="30">
        <f>D190/30</f>
        <v>0</v>
      </c>
      <c r="AN190" s="172">
        <f>[1]Eco!$B$106*[1]Eco!$B$108*[1]Eco!$B$109</f>
        <v>2551.2000000000003</v>
      </c>
      <c r="AO190" s="172">
        <f>AK190*AN190</f>
        <v>0</v>
      </c>
    </row>
    <row r="191" spans="1:132" x14ac:dyDescent="0.25">
      <c r="B191" s="14" t="s">
        <v>1303</v>
      </c>
      <c r="C191" s="197">
        <f>ROUND(SUM(Travail!F69:F74)/8,1)</f>
        <v>0</v>
      </c>
      <c r="D191" s="172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2">
        <f>[1]Eco!$B$111</f>
        <v>28.3</v>
      </c>
      <c r="AO191" s="172">
        <f>AK191*AN191</f>
        <v>0</v>
      </c>
    </row>
    <row r="192" spans="1:132" x14ac:dyDescent="0.25">
      <c r="B192" s="14" t="s">
        <v>1307</v>
      </c>
      <c r="C192" s="172">
        <f>(Travail!F83+Travail!F84)/8</f>
        <v>0</v>
      </c>
      <c r="D192" s="265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2">
        <f>SUM(AO189:AO191)</f>
        <v>1809</v>
      </c>
    </row>
    <row r="193" spans="1:43" x14ac:dyDescent="0.25">
      <c r="B193" s="14" t="s">
        <v>1309</v>
      </c>
      <c r="C193" s="172">
        <f>(Travail!F75+Travail!F76+Travail!F81)/8</f>
        <v>11.625</v>
      </c>
      <c r="D193" s="172">
        <f>C193</f>
        <v>11.625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1</v>
      </c>
      <c r="AK200" s="172">
        <f>IF(AJ200=0,0,[1]Protect!B76)</f>
        <v>7500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2">
        <f>IF(AJ203=0,0,[1]Protect!B79)</f>
        <v>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2926</v>
      </c>
      <c r="D206" s="260">
        <f>ROUND(C206*D$82/C$82,0)</f>
        <v>3219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1478</v>
      </c>
      <c r="D207" s="263">
        <f>IF(L212&gt;52,52,L212)*IF(Scénario!K2="Exploit. Ind.",1,Scénario!K3)*'Calcul éco'!C43</f>
        <v>1625.624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0</v>
      </c>
      <c r="AQ207" s="5"/>
    </row>
    <row r="208" spans="1:43" x14ac:dyDescent="0.25">
      <c r="B208" s="210" t="s">
        <v>987</v>
      </c>
      <c r="C208" s="172">
        <f>ROUND('Calcul éco'!J44,0)</f>
        <v>2021</v>
      </c>
      <c r="D208" s="260">
        <f>ROUND(C208*D$82/C$82,0)</f>
        <v>2223</v>
      </c>
      <c r="S208" s="14" t="s">
        <v>978</v>
      </c>
      <c r="T208" s="30">
        <f>L212</f>
        <v>33.176000000000002</v>
      </c>
      <c r="W208" s="14" t="s">
        <v>979</v>
      </c>
      <c r="X208" s="172">
        <f>IF(T208&gt;50,25,IF(T208&gt;25,T208-25,0))</f>
        <v>8.1760000000000019</v>
      </c>
      <c r="Y208" s="172">
        <f>Y209+0.66*Y205</f>
        <v>240.28</v>
      </c>
      <c r="Z208" s="172">
        <f t="shared" ref="Z208:Z209" si="105">X208*Y208</f>
        <v>1964.5292800000004</v>
      </c>
      <c r="AF208" s="5"/>
      <c r="AK208" s="14" t="s">
        <v>1134</v>
      </c>
      <c r="AL208" s="172">
        <f>IF(AO192&lt;SUM(AK200:AK204),AO192,SUM(AK200:AK204))</f>
        <v>1809</v>
      </c>
      <c r="AQ208" s="244"/>
    </row>
    <row r="209" spans="1:43" x14ac:dyDescent="0.25">
      <c r="B209" s="19" t="s">
        <v>989</v>
      </c>
      <c r="C209" s="172">
        <f>ROUND('Calcul éco'!J45,0)</f>
        <v>8496</v>
      </c>
      <c r="D209" s="263">
        <f>IF(Scénario!K9=0,0,ROUND(Z210,0))</f>
        <v>10165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0</v>
      </c>
      <c r="Y209" s="189">
        <f>[1]Eco!$B$34</f>
        <v>70</v>
      </c>
      <c r="Z209" s="172">
        <f t="shared" si="105"/>
        <v>0</v>
      </c>
      <c r="AF209" s="5"/>
      <c r="AK209" s="14" t="s">
        <v>1135</v>
      </c>
      <c r="AL209" s="172">
        <f>IF(AO192&lt;SUM(AQ200:AQ204),AO192,SUM(AQ200:AQ204))</f>
        <v>1809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0</v>
      </c>
      <c r="D210" s="263">
        <f>ROUND(AL207,0)</f>
        <v>0</v>
      </c>
      <c r="E210" s="17" t="s">
        <v>1329</v>
      </c>
      <c r="K210" s="14" t="s">
        <v>990</v>
      </c>
      <c r="L210" s="172">
        <f>J221</f>
        <v>0</v>
      </c>
      <c r="Y210" s="40" t="s">
        <v>949</v>
      </c>
      <c r="Z210" s="61">
        <f>SUM(Z207:Z209)*IF(Scénario!K2="Exploit. Ind.",1,Scénario!K3)</f>
        <v>10164.529280000001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26126.2</v>
      </c>
      <c r="D211" s="263">
        <f>ROUND(SUM(D201:D210),0)</f>
        <v>29558</v>
      </c>
      <c r="E211" s="17" t="s">
        <v>1331</v>
      </c>
      <c r="K211" s="40" t="s">
        <v>995</v>
      </c>
      <c r="L211" s="61">
        <f>L209+L210</f>
        <v>33.176000000000002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33.176000000000002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0</v>
      </c>
      <c r="J216" s="47">
        <f>I216*D$82/C$82</f>
        <v>0</v>
      </c>
      <c r="K216" s="222"/>
      <c r="L216" s="222"/>
      <c r="AF216" s="5"/>
      <c r="AI216" s="14" t="s">
        <v>1140</v>
      </c>
      <c r="AJ216" s="172">
        <f>D183*[1]Protect!$B$17/100</f>
        <v>0</v>
      </c>
      <c r="AK216" s="172"/>
      <c r="AL216" s="172"/>
      <c r="AM216" s="172">
        <f>'Calcul éco'!W272</f>
        <v>6</v>
      </c>
      <c r="AN216" s="172">
        <f>AJ216*AM216</f>
        <v>0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1551.4749999999999</v>
      </c>
      <c r="D217" s="260">
        <f t="shared" si="106"/>
        <v>1707</v>
      </c>
      <c r="G217" s="19" t="s">
        <v>601</v>
      </c>
      <c r="H217" s="19" t="str">
        <f>Troupeau!C3</f>
        <v>BV</v>
      </c>
      <c r="I217" s="30">
        <f>'Calcul éco'!S51</f>
        <v>0</v>
      </c>
      <c r="J217" s="47">
        <f t="shared" ref="J217:J218" si="107">I217*D$82/C$82</f>
        <v>0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41442.900000000016</v>
      </c>
      <c r="D218" s="260">
        <f t="shared" si="106"/>
        <v>45587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</v>
      </c>
      <c r="AK218" s="172"/>
      <c r="AL218" s="172"/>
      <c r="AM218" s="172">
        <f>'Calcul éco'!W274</f>
        <v>100</v>
      </c>
      <c r="AN218" s="172">
        <f>AJ218*AM218</f>
        <v>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1809</v>
      </c>
      <c r="D219" s="260">
        <f t="shared" si="106"/>
        <v>1990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0</v>
      </c>
      <c r="D220" s="263">
        <f>SUM(AN215:AN219)</f>
        <v>0</v>
      </c>
      <c r="E220" s="17" t="s">
        <v>1345</v>
      </c>
      <c r="H220" s="14" t="s">
        <v>1000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1346</v>
      </c>
      <c r="C221" s="172">
        <f>ROUND(SUM(C216:C220),0)</f>
        <v>75443</v>
      </c>
      <c r="D221" s="263">
        <f>ROUND(SUM(D216:D220),0)</f>
        <v>82988</v>
      </c>
      <c r="E221" s="17" t="s">
        <v>1345</v>
      </c>
      <c r="H221" s="14" t="s">
        <v>1001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2"/>
      <c r="AN225" s="172">
        <f>[1]Protect!$B$4</f>
        <v>6</v>
      </c>
      <c r="AO225" s="172">
        <f>AK225*AN225</f>
        <v>0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</v>
      </c>
      <c r="AN226" s="172">
        <f>[1]Protect!$B$83</f>
        <v>2000</v>
      </c>
      <c r="AO226" s="172">
        <f t="shared" ref="AO226:AO227" si="108">AK226*AN226</f>
        <v>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22.805999999999976</v>
      </c>
      <c r="D230" s="260">
        <f t="shared" si="109"/>
        <v>25</v>
      </c>
    </row>
    <row r="231" spans="1:49" x14ac:dyDescent="0.25">
      <c r="B231" s="14" t="s">
        <v>1083</v>
      </c>
      <c r="C231" s="172">
        <f>'Calcul éco'!J159</f>
        <v>323.99999999999989</v>
      </c>
      <c r="D231" s="260">
        <f t="shared" si="109"/>
        <v>356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303</v>
      </c>
      <c r="D232" s="260">
        <f t="shared" si="109"/>
        <v>333</v>
      </c>
    </row>
    <row r="233" spans="1:49" x14ac:dyDescent="0.25">
      <c r="B233" s="14" t="s">
        <v>1085</v>
      </c>
      <c r="C233" s="172">
        <f>'Calcul éco'!J161</f>
        <v>10.877999999999988</v>
      </c>
      <c r="D233" s="260">
        <f t="shared" si="109"/>
        <v>12</v>
      </c>
    </row>
    <row r="234" spans="1:49" x14ac:dyDescent="0.25">
      <c r="B234" s="14" t="s">
        <v>1352</v>
      </c>
      <c r="C234" s="172">
        <f>'Calcul éco'!J166</f>
        <v>0</v>
      </c>
      <c r="D234" s="172">
        <f>C234</f>
        <v>0</v>
      </c>
    </row>
    <row r="235" spans="1:49" x14ac:dyDescent="0.25">
      <c r="B235" s="14" t="s">
        <v>1353</v>
      </c>
      <c r="C235" s="172">
        <f>'Calcul éco'!J167</f>
        <v>0</v>
      </c>
      <c r="D235" s="263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25514</v>
      </c>
      <c r="D236" s="263">
        <f>ROUND(SUM(D222:D235),0)</f>
        <v>27446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-12944.800000000003</v>
      </c>
      <c r="D237" s="263">
        <f>D194+D211-D221-D236</f>
        <v>-12801</v>
      </c>
    </row>
    <row r="238" spans="1:49" x14ac:dyDescent="0.25">
      <c r="B238" s="210" t="s">
        <v>1090</v>
      </c>
      <c r="C238" s="172">
        <f>ROUND(C237/Scénario!$K$4,0)</f>
        <v>-8630</v>
      </c>
      <c r="D238" s="263">
        <f>ROUND(D237/D83,0)</f>
        <v>-6401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0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-23945</v>
      </c>
      <c r="D241" s="267">
        <f>ROUND(D237-D239-D240,0)</f>
        <v>-23801</v>
      </c>
    </row>
    <row r="242" spans="1:15" x14ac:dyDescent="0.25">
      <c r="B242" s="210" t="s">
        <v>1094</v>
      </c>
      <c r="C242" s="172">
        <f>ROUND(C241/Scénario!K4,0)</f>
        <v>-15963</v>
      </c>
      <c r="D242" s="263">
        <f>ROUND(D241/D83,0)</f>
        <v>-11901</v>
      </c>
    </row>
    <row r="243" spans="1:15" x14ac:dyDescent="0.25">
      <c r="B243" s="210" t="s">
        <v>1357</v>
      </c>
      <c r="C243" s="172">
        <f>'Calcul éco'!X237+'Calcul éco'!X240</f>
        <v>0</v>
      </c>
      <c r="D243" s="172">
        <f>C243</f>
        <v>0</v>
      </c>
    </row>
    <row r="244" spans="1:15" x14ac:dyDescent="0.25">
      <c r="B244" s="210" t="s">
        <v>1358</v>
      </c>
      <c r="C244" s="172">
        <f>'Calcul éco'!AA237+'Calcul éco'!AA240</f>
        <v>0</v>
      </c>
      <c r="D244" s="172">
        <f>C244</f>
        <v>0</v>
      </c>
    </row>
    <row r="245" spans="1:15" x14ac:dyDescent="0.25">
      <c r="A245" s="2" t="s">
        <v>1359</v>
      </c>
      <c r="B245" s="14" t="s">
        <v>568</v>
      </c>
      <c r="C245" s="269">
        <f>Travail!F5</f>
        <v>0</v>
      </c>
      <c r="D245" s="172">
        <f>C245</f>
        <v>0</v>
      </c>
    </row>
    <row r="246" spans="1:15" x14ac:dyDescent="0.25">
      <c r="B246" s="14" t="s">
        <v>601</v>
      </c>
      <c r="C246" s="269">
        <f>Travail!F6</f>
        <v>0</v>
      </c>
      <c r="D246" s="172">
        <f t="shared" ref="D246:D247" si="112">C246</f>
        <v>0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1252.5398260869563</v>
      </c>
      <c r="D248" s="263">
        <f>ROUND(SUM(AV163:BS163),1)</f>
        <v>1281.2</v>
      </c>
    </row>
    <row r="249" spans="1:15" x14ac:dyDescent="0.25">
      <c r="B249" s="14" t="s">
        <v>601</v>
      </c>
      <c r="C249" s="269">
        <f>Travail!F10</f>
        <v>1008</v>
      </c>
      <c r="D249" s="263">
        <f>SUM(CB163:CY163)</f>
        <v>1008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0</v>
      </c>
      <c r="D251" s="172">
        <f>C251</f>
        <v>0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22.671000000000003</v>
      </c>
      <c r="L258" s="189">
        <f>IF(K258&gt;[1]Trav!E121,[1]Trav!C121,[1]Trav!B121)</f>
        <v>7.2</v>
      </c>
      <c r="N258" s="273"/>
      <c r="O258">
        <f t="shared" si="114"/>
        <v>163.23120000000003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25.19</v>
      </c>
      <c r="L259" s="189">
        <f>IF(K259&gt;[1]Trav!E121,[1]Trav!C121,[1]Trav!B121)</f>
        <v>7.2</v>
      </c>
      <c r="N259" s="273"/>
      <c r="O259">
        <f t="shared" si="114"/>
        <v>181.36800000000002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16.5</v>
      </c>
      <c r="L260" s="189">
        <f>IF(K260&gt;[1]Trav!E121,[1]Trav!C121,[1]Trav!B121)</f>
        <v>7.2</v>
      </c>
      <c r="N260" s="273"/>
      <c r="O260">
        <f t="shared" si="114"/>
        <v>118.8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2.5190000000000001</v>
      </c>
      <c r="L261" s="189">
        <f>IF(K261&gt;[1]Trav!E122,[1]Trav!C122,[1]Trav!B122)</f>
        <v>4.4000000000000004</v>
      </c>
      <c r="M261" s="5"/>
      <c r="N261" s="273"/>
      <c r="O261">
        <f t="shared" si="114"/>
        <v>11.083600000000002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7.81</v>
      </c>
      <c r="L262" s="189">
        <f>[1]Trav!$B$123</f>
        <v>7.2</v>
      </c>
      <c r="M262" s="5"/>
      <c r="N262" s="273"/>
      <c r="O262">
        <f t="shared" si="114"/>
        <v>56.231999999999999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148</v>
      </c>
      <c r="D267" s="263">
        <f t="shared" si="116"/>
        <v>163</v>
      </c>
    </row>
    <row r="268" spans="1:15" x14ac:dyDescent="0.25">
      <c r="B268" s="32" t="s">
        <v>791</v>
      </c>
      <c r="C268" s="269">
        <f>Travail!F56</f>
        <v>165</v>
      </c>
      <c r="D268" s="263">
        <f t="shared" si="116"/>
        <v>181</v>
      </c>
    </row>
    <row r="269" spans="1:15" x14ac:dyDescent="0.25">
      <c r="B269" s="32" t="s">
        <v>792</v>
      </c>
      <c r="C269" s="269">
        <f>Travail!F57</f>
        <v>108</v>
      </c>
      <c r="D269" s="263">
        <f t="shared" si="116"/>
        <v>119</v>
      </c>
    </row>
    <row r="270" spans="1:15" x14ac:dyDescent="0.25">
      <c r="B270" s="32" t="s">
        <v>793</v>
      </c>
      <c r="C270" s="269">
        <f>Travail!F58</f>
        <v>10</v>
      </c>
      <c r="D270" s="263">
        <f t="shared" si="116"/>
        <v>11</v>
      </c>
    </row>
    <row r="271" spans="1:15" x14ac:dyDescent="0.25">
      <c r="B271" s="32" t="s">
        <v>795</v>
      </c>
      <c r="C271" s="269">
        <f>Travail!F59</f>
        <v>51</v>
      </c>
      <c r="D271" s="263">
        <f t="shared" si="116"/>
        <v>56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0</v>
      </c>
      <c r="D275" s="172">
        <f>C275</f>
        <v>0</v>
      </c>
    </row>
    <row r="276" spans="1:4" x14ac:dyDescent="0.25">
      <c r="A276" s="23"/>
      <c r="B276" s="32" t="s">
        <v>1369</v>
      </c>
      <c r="C276" s="269">
        <f>C192*8</f>
        <v>0</v>
      </c>
      <c r="D276" s="263">
        <f>D192*8</f>
        <v>0</v>
      </c>
    </row>
    <row r="277" spans="1:4" x14ac:dyDescent="0.25">
      <c r="B277" s="32" t="s">
        <v>1420</v>
      </c>
      <c r="C277" s="269">
        <f>Travail!F75+Travail!F81</f>
        <v>93</v>
      </c>
      <c r="D277" s="172">
        <f>C277</f>
        <v>93</v>
      </c>
    </row>
    <row r="278" spans="1:4" x14ac:dyDescent="0.25">
      <c r="B278" s="32" t="s">
        <v>1421</v>
      </c>
      <c r="C278" s="269">
        <f>Travail!F76</f>
        <v>0</v>
      </c>
      <c r="D278" s="172">
        <f>C278</f>
        <v>0</v>
      </c>
    </row>
    <row r="279" spans="1:4" x14ac:dyDescent="0.25">
      <c r="B279" s="32" t="s">
        <v>1387</v>
      </c>
      <c r="C279" s="269">
        <f>Travail!F86</f>
        <v>0</v>
      </c>
      <c r="D279" s="269">
        <f>C279</f>
        <v>0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2432</v>
      </c>
      <c r="D281" s="263">
        <f>ROUND(D245+D248+D251+D254+D257+D260+D261,0)</f>
        <v>2557</v>
      </c>
    </row>
    <row r="282" spans="1:4" x14ac:dyDescent="0.25">
      <c r="B282" s="14" t="s">
        <v>1372</v>
      </c>
      <c r="C282" s="172">
        <f>ROUND(C246+C249+C252+C255+C258,0)</f>
        <v>1110</v>
      </c>
      <c r="D282" s="263">
        <f>ROUND(D246+D249+D252+D255+D258,0)</f>
        <v>1120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8</v>
      </c>
      <c r="D284" s="172">
        <f>ROUND(D281/(Troupeau!$B$17*G63),2)</f>
        <v>7.65</v>
      </c>
    </row>
    <row r="285" spans="1:4" x14ac:dyDescent="0.25">
      <c r="B285" s="14" t="s">
        <v>1375</v>
      </c>
      <c r="C285" s="172">
        <f>IF(Troupeau!$C$17=0,0,ROUND(C282/Troupeau!$C$17,2))</f>
        <v>48.26</v>
      </c>
      <c r="D285" s="172">
        <f>IF(Troupeau!$C$17=0,0,ROUND(D282/Troupeau!$C$17*G63,2))</f>
        <v>53.57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3542</v>
      </c>
      <c r="D287" s="263">
        <f>SUM(D281:D283)</f>
        <v>3677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514</v>
      </c>
      <c r="D289" s="263">
        <f>SUM(D262:D271)</f>
        <v>565</v>
      </c>
    </row>
    <row r="290" spans="2:4" x14ac:dyDescent="0.25">
      <c r="B290" s="14" t="s">
        <v>1422</v>
      </c>
      <c r="C290" s="269">
        <f>C275+C276+C277</f>
        <v>93</v>
      </c>
      <c r="D290" s="276">
        <f>D275+D276+D277</f>
        <v>93</v>
      </c>
    </row>
    <row r="291" spans="2:4" x14ac:dyDescent="0.25">
      <c r="B291" s="14" t="s">
        <v>1423</v>
      </c>
      <c r="C291" s="269">
        <f>C278+C279+C280</f>
        <v>0</v>
      </c>
      <c r="D291" s="269">
        <f>D278+D279+D280</f>
        <v>0</v>
      </c>
    </row>
    <row r="292" spans="2:4" x14ac:dyDescent="0.25">
      <c r="B292" s="14" t="s">
        <v>873</v>
      </c>
      <c r="C292" s="172">
        <f>ROUND(SUM(C287:C291),0)</f>
        <v>4749</v>
      </c>
      <c r="D292" s="263">
        <f>ROUND(SUM(D287:D291),0)</f>
        <v>4935</v>
      </c>
    </row>
    <row r="293" spans="2:4" x14ac:dyDescent="0.25">
      <c r="B293" s="14" t="s">
        <v>874</v>
      </c>
      <c r="C293" s="172">
        <f>ROUND(IF(Scénario!$K$129=1,SUM(C275:C280),SUM(C278:C280)),0)</f>
        <v>0</v>
      </c>
      <c r="D293" s="172">
        <f>ROUND(IF(Scénario!$K$129=1,SUM(D275:D280),SUM(D278:D280)),0)</f>
        <v>0</v>
      </c>
    </row>
    <row r="294" spans="2:4" x14ac:dyDescent="0.25">
      <c r="B294" s="14" t="s">
        <v>875</v>
      </c>
      <c r="C294" s="172">
        <f>ROUND((C292-C293)/C83,0)</f>
        <v>3166</v>
      </c>
      <c r="D294" s="172">
        <f>ROUND((D292-D293)/D83,0)</f>
        <v>2468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0</v>
      </c>
    </row>
    <row r="299" spans="2:4" x14ac:dyDescent="0.25">
      <c r="B299" s="14" t="s">
        <v>1451</v>
      </c>
      <c r="C299" s="172">
        <f>IF(Troupeau!$B$3="OL",CdTrp1!AA221,0)</f>
        <v>0</v>
      </c>
    </row>
    <row r="300" spans="2:4" x14ac:dyDescent="0.25">
      <c r="B300" s="14" t="s">
        <v>1452</v>
      </c>
      <c r="C300" s="172">
        <f>IF(Troupeau!$B$3="BV",CdTrp1!AA220,0)+IF(Troupeau!$C$3="BV",CdTrp2!AA220,0)</f>
        <v>0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13.400000000000002</v>
      </c>
    </row>
    <row r="305" spans="2:3" x14ac:dyDescent="0.25">
      <c r="B305" s="14" t="s">
        <v>1457</v>
      </c>
      <c r="C305" s="172">
        <f>Protection!BJ31</f>
        <v>0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0</v>
      </c>
    </row>
    <row r="308" spans="2:3" x14ac:dyDescent="0.25">
      <c r="B308" s="14" t="s">
        <v>1460</v>
      </c>
      <c r="C308" s="172">
        <f>'Calcul éco'!X235</f>
        <v>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6" activePane="bottomLeft" state="frozen"/>
      <selection pane="bottomLeft" activeCell="U52" sqref="U52:Y53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1</v>
      </c>
      <c r="I52" s="59">
        <v>1</v>
      </c>
      <c r="J52" s="59">
        <v>1</v>
      </c>
      <c r="K52" s="59">
        <v>1</v>
      </c>
      <c r="L52" s="59">
        <v>1</v>
      </c>
      <c r="M52" s="59">
        <v>1</v>
      </c>
      <c r="N52" s="59">
        <v>1</v>
      </c>
      <c r="O52" s="59">
        <v>1</v>
      </c>
      <c r="P52" s="59">
        <v>1</v>
      </c>
      <c r="Q52" s="59">
        <v>1</v>
      </c>
      <c r="R52" s="59">
        <v>1</v>
      </c>
      <c r="S52" s="59">
        <v>1</v>
      </c>
      <c r="T52" s="59">
        <v>1</v>
      </c>
      <c r="U52" s="59">
        <v>1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1</v>
      </c>
      <c r="H53" s="59">
        <v>1</v>
      </c>
      <c r="I53" s="59">
        <v>1</v>
      </c>
      <c r="J53" s="59">
        <v>1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59">
        <v>1</v>
      </c>
      <c r="V53" s="59">
        <v>1</v>
      </c>
      <c r="W53" s="59">
        <v>1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1</v>
      </c>
      <c r="H54" s="59">
        <v>1</v>
      </c>
      <c r="I54" s="59">
        <v>1</v>
      </c>
      <c r="J54" s="59">
        <v>1</v>
      </c>
      <c r="K54" s="59">
        <v>1</v>
      </c>
      <c r="L54" s="59">
        <v>1</v>
      </c>
      <c r="M54" s="59">
        <v>1</v>
      </c>
      <c r="N54" s="59">
        <v>1</v>
      </c>
      <c r="O54" s="59">
        <v>1</v>
      </c>
      <c r="P54" s="59">
        <v>1</v>
      </c>
      <c r="Q54" s="59">
        <v>1</v>
      </c>
      <c r="R54" s="59">
        <v>1</v>
      </c>
      <c r="S54" s="59">
        <v>1</v>
      </c>
      <c r="T54" s="59">
        <v>1</v>
      </c>
      <c r="U54" s="59">
        <v>1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1</v>
      </c>
      <c r="C55" s="59">
        <v>1</v>
      </c>
      <c r="D55" s="59">
        <v>1</v>
      </c>
      <c r="E55" s="59">
        <v>1</v>
      </c>
      <c r="F55" s="59">
        <v>1</v>
      </c>
      <c r="G55" s="59">
        <v>1</v>
      </c>
      <c r="H55" s="59">
        <v>1</v>
      </c>
      <c r="I55" s="59">
        <v>1</v>
      </c>
      <c r="J55" s="59">
        <v>1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1</v>
      </c>
      <c r="V55" s="59">
        <v>1</v>
      </c>
      <c r="W55" s="59">
        <v>1</v>
      </c>
      <c r="X55" s="59">
        <v>1</v>
      </c>
      <c r="Y55" s="59">
        <v>1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505.16869565217394</v>
      </c>
      <c r="F63" s="60">
        <f t="shared" si="18"/>
        <v>556.42573913043475</v>
      </c>
      <c r="G63" s="60">
        <f t="shared" si="18"/>
        <v>553.55756521739136</v>
      </c>
      <c r="H63" s="60">
        <f t="shared" si="18"/>
        <v>532.9252173913045</v>
      </c>
      <c r="I63" s="60">
        <f t="shared" si="18"/>
        <v>530.14956521739134</v>
      </c>
      <c r="J63" s="60">
        <f t="shared" si="18"/>
        <v>542.08486956521745</v>
      </c>
      <c r="K63" s="60">
        <f t="shared" si="18"/>
        <v>553.55756521739136</v>
      </c>
      <c r="L63" s="60">
        <f t="shared" si="18"/>
        <v>535.70086956521743</v>
      </c>
      <c r="M63" s="60">
        <f t="shared" si="18"/>
        <v>535.70086956521743</v>
      </c>
      <c r="N63" s="60">
        <f t="shared" si="18"/>
        <v>553.55756521739136</v>
      </c>
      <c r="O63" s="60">
        <f t="shared" si="18"/>
        <v>553.55756521739136</v>
      </c>
      <c r="P63" s="60">
        <f t="shared" si="18"/>
        <v>553.55756521739136</v>
      </c>
      <c r="Q63" s="60">
        <f t="shared" si="18"/>
        <v>553.55756521739136</v>
      </c>
      <c r="R63" s="60">
        <f t="shared" si="18"/>
        <v>535.70086956521743</v>
      </c>
      <c r="S63" s="60">
        <f t="shared" si="18"/>
        <v>535.70086956521743</v>
      </c>
      <c r="T63" s="60">
        <f t="shared" si="18"/>
        <v>553.55756521739136</v>
      </c>
      <c r="U63" s="60">
        <f t="shared" si="18"/>
        <v>605.1846956521739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54.495304347826092</v>
      </c>
      <c r="C64" s="60">
        <f t="shared" si="19"/>
        <v>54.495304347826092</v>
      </c>
      <c r="D64" s="60">
        <f t="shared" si="19"/>
        <v>49.221565217391309</v>
      </c>
      <c r="E64" s="60">
        <f t="shared" si="19"/>
        <v>49.221565217391309</v>
      </c>
      <c r="F64" s="60">
        <f t="shared" si="19"/>
        <v>54.495304347826092</v>
      </c>
      <c r="G64" s="60">
        <f t="shared" si="19"/>
        <v>54.495304347826092</v>
      </c>
      <c r="H64" s="60">
        <f t="shared" si="19"/>
        <v>52.737391304347831</v>
      </c>
      <c r="I64" s="60">
        <f t="shared" si="19"/>
        <v>52.737391304347831</v>
      </c>
      <c r="J64" s="60">
        <f t="shared" si="19"/>
        <v>54.495304347826092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54.495304347826092</v>
      </c>
      <c r="V64" s="60">
        <f t="shared" si="19"/>
        <v>52.737391304347831</v>
      </c>
      <c r="W64" s="60">
        <f t="shared" si="19"/>
        <v>52.737391304347831</v>
      </c>
      <c r="X64" s="60">
        <f t="shared" si="19"/>
        <v>54.495304347826092</v>
      </c>
      <c r="Y64" s="60">
        <f t="shared" si="19"/>
        <v>54.495304347826092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29.829008695652174</v>
      </c>
      <c r="H65" s="60">
        <f t="shared" si="20"/>
        <v>28.866782608695654</v>
      </c>
      <c r="I65" s="60">
        <f t="shared" si="20"/>
        <v>28.866782608695654</v>
      </c>
      <c r="J65" s="60">
        <f t="shared" si="20"/>
        <v>74.572521739130451</v>
      </c>
      <c r="K65" s="60">
        <f t="shared" si="20"/>
        <v>74.572521739130451</v>
      </c>
      <c r="L65" s="60">
        <f t="shared" si="20"/>
        <v>72.166956521739138</v>
      </c>
      <c r="M65" s="60">
        <f t="shared" si="20"/>
        <v>72.166956521739138</v>
      </c>
      <c r="N65" s="60">
        <f t="shared" si="20"/>
        <v>74.572521739130451</v>
      </c>
      <c r="O65" s="60">
        <f t="shared" si="20"/>
        <v>74.572521739130451</v>
      </c>
      <c r="P65" s="60">
        <f t="shared" si="20"/>
        <v>74.572521739130451</v>
      </c>
      <c r="Q65" s="60">
        <f t="shared" si="20"/>
        <v>74.572521739130451</v>
      </c>
      <c r="R65" s="60">
        <f t="shared" si="20"/>
        <v>72.166956521739138</v>
      </c>
      <c r="S65" s="60">
        <f t="shared" si="20"/>
        <v>72.166956521739138</v>
      </c>
      <c r="T65" s="60">
        <f t="shared" si="20"/>
        <v>74.572521739130451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17.209043478260874</v>
      </c>
      <c r="C66" s="60">
        <f t="shared" si="21"/>
        <v>17.209043478260874</v>
      </c>
      <c r="D66" s="60">
        <f t="shared" si="21"/>
        <v>15.543652173913047</v>
      </c>
      <c r="E66" s="60">
        <f t="shared" si="21"/>
        <v>15.543652173913047</v>
      </c>
      <c r="F66" s="60">
        <f t="shared" si="21"/>
        <v>17.209043478260874</v>
      </c>
      <c r="G66" s="60">
        <f t="shared" si="21"/>
        <v>17.209043478260874</v>
      </c>
      <c r="H66" s="60">
        <f t="shared" si="21"/>
        <v>16.653913043478266</v>
      </c>
      <c r="I66" s="60">
        <f t="shared" si="21"/>
        <v>16.653913043478266</v>
      </c>
      <c r="J66" s="60">
        <f t="shared" si="21"/>
        <v>17.209043478260874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17.209043478260874</v>
      </c>
      <c r="V66" s="60">
        <f t="shared" si="21"/>
        <v>16.653913043478266</v>
      </c>
      <c r="W66" s="60">
        <f t="shared" si="21"/>
        <v>16.653913043478266</v>
      </c>
      <c r="X66" s="60">
        <f t="shared" si="21"/>
        <v>17.209043478260874</v>
      </c>
      <c r="Y66" s="60">
        <f t="shared" si="21"/>
        <v>17.209043478260874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675</v>
      </c>
      <c r="C73" s="63">
        <f t="shared" ref="C73:Y73" si="28">ROUND(SUM(C63:C72),0)</f>
        <v>669</v>
      </c>
      <c r="D73" s="63">
        <f t="shared" si="28"/>
        <v>599</v>
      </c>
      <c r="E73" s="63">
        <f t="shared" si="28"/>
        <v>597</v>
      </c>
      <c r="F73" s="63">
        <f t="shared" si="28"/>
        <v>658</v>
      </c>
      <c r="G73" s="63">
        <f t="shared" si="28"/>
        <v>655</v>
      </c>
      <c r="H73" s="63">
        <f t="shared" si="28"/>
        <v>631</v>
      </c>
      <c r="I73" s="63">
        <f t="shared" si="28"/>
        <v>628</v>
      </c>
      <c r="J73" s="63">
        <f t="shared" si="28"/>
        <v>688</v>
      </c>
      <c r="K73" s="63">
        <f t="shared" si="28"/>
        <v>628</v>
      </c>
      <c r="L73" s="63">
        <f t="shared" si="28"/>
        <v>608</v>
      </c>
      <c r="M73" s="63">
        <f t="shared" si="28"/>
        <v>608</v>
      </c>
      <c r="N73" s="63">
        <f t="shared" si="28"/>
        <v>628</v>
      </c>
      <c r="O73" s="63">
        <f t="shared" si="28"/>
        <v>628</v>
      </c>
      <c r="P73" s="63">
        <f t="shared" si="28"/>
        <v>628</v>
      </c>
      <c r="Q73" s="63">
        <f t="shared" si="28"/>
        <v>628</v>
      </c>
      <c r="R73" s="63">
        <f t="shared" si="28"/>
        <v>608</v>
      </c>
      <c r="S73" s="63">
        <f t="shared" si="28"/>
        <v>608</v>
      </c>
      <c r="T73" s="63">
        <f t="shared" si="28"/>
        <v>628</v>
      </c>
      <c r="U73" s="63">
        <f t="shared" si="28"/>
        <v>677</v>
      </c>
      <c r="V73" s="63">
        <f t="shared" si="28"/>
        <v>655</v>
      </c>
      <c r="W73" s="63">
        <f t="shared" si="28"/>
        <v>653</v>
      </c>
      <c r="X73" s="63">
        <f t="shared" si="28"/>
        <v>675</v>
      </c>
      <c r="Y73" s="63">
        <f t="shared" si="28"/>
        <v>675</v>
      </c>
      <c r="Z73" s="51"/>
      <c r="AA73" s="55">
        <f>ROUND(SUM(B73:Y73),0)</f>
        <v>15335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beliers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/>
      <c r="C123" s="59"/>
      <c r="D123" s="59"/>
      <c r="E123" s="155"/>
      <c r="F123" s="155"/>
      <c r="G123" s="155"/>
      <c r="H123" s="155"/>
      <c r="I123" s="155"/>
      <c r="J123" s="155"/>
      <c r="K123" s="155"/>
      <c r="L123" s="155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vides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agnelles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beliers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8.1786811826086971</v>
      </c>
      <c r="F136" s="60">
        <f t="shared" si="51"/>
        <v>9.0085327165217386</v>
      </c>
      <c r="G136" s="60">
        <f t="shared" si="51"/>
        <v>8.9620969808695659</v>
      </c>
      <c r="H136" s="60">
        <f t="shared" si="51"/>
        <v>8.6280592695652221</v>
      </c>
      <c r="I136" s="60">
        <f t="shared" si="51"/>
        <v>8.5831214608695667</v>
      </c>
      <c r="J136" s="60">
        <f t="shared" si="51"/>
        <v>8.7763540382608713</v>
      </c>
      <c r="K136" s="60">
        <f t="shared" si="51"/>
        <v>5.5743246817391308</v>
      </c>
      <c r="L136" s="60">
        <f t="shared" si="51"/>
        <v>5.3945077565217394</v>
      </c>
      <c r="M136" s="60">
        <f t="shared" si="51"/>
        <v>5.3945077565217394</v>
      </c>
      <c r="N136" s="60">
        <f t="shared" si="51"/>
        <v>5.5743246817391308</v>
      </c>
      <c r="O136" s="60">
        <f t="shared" si="51"/>
        <v>5.5743246817391308</v>
      </c>
      <c r="P136" s="60">
        <f t="shared" si="51"/>
        <v>5.5743246817391308</v>
      </c>
      <c r="Q136" s="60">
        <f t="shared" si="51"/>
        <v>5.5743246817391308</v>
      </c>
      <c r="R136" s="60">
        <f t="shared" si="51"/>
        <v>5.3945077565217394</v>
      </c>
      <c r="S136" s="60">
        <f t="shared" si="51"/>
        <v>5.3945077565217394</v>
      </c>
      <c r="T136" s="60">
        <f t="shared" si="51"/>
        <v>4.3786403408695662</v>
      </c>
      <c r="U136" s="60">
        <f t="shared" si="51"/>
        <v>8.6541411478260866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177.25815880347827</v>
      </c>
    </row>
    <row r="137" spans="1:31" x14ac:dyDescent="0.25">
      <c r="A137" s="127" t="str">
        <f>A$16</f>
        <v>vides</v>
      </c>
      <c r="B137" s="60">
        <f t="shared" ref="B137:Y144" si="52">B111*(1-B124)</f>
        <v>0.70843895652173916</v>
      </c>
      <c r="C137" s="60">
        <f t="shared" si="52"/>
        <v>0.70843895652173916</v>
      </c>
      <c r="D137" s="60">
        <f t="shared" si="52"/>
        <v>0.63988034782608705</v>
      </c>
      <c r="E137" s="60">
        <f t="shared" si="52"/>
        <v>0.63988034782608705</v>
      </c>
      <c r="F137" s="60">
        <f t="shared" si="52"/>
        <v>0.70843895652173916</v>
      </c>
      <c r="G137" s="60">
        <f t="shared" si="52"/>
        <v>0.70843895652173916</v>
      </c>
      <c r="H137" s="60">
        <f t="shared" si="52"/>
        <v>0.6855860869565219</v>
      </c>
      <c r="I137" s="60">
        <f t="shared" si="52"/>
        <v>0.6855860869565219</v>
      </c>
      <c r="J137" s="60">
        <f t="shared" si="52"/>
        <v>0.70843895652173916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0.70843895652173916</v>
      </c>
      <c r="V137" s="60">
        <f t="shared" si="52"/>
        <v>0.6855860869565219</v>
      </c>
      <c r="W137" s="60">
        <f t="shared" si="52"/>
        <v>0.6855860869565219</v>
      </c>
      <c r="X137" s="60">
        <f t="shared" si="52"/>
        <v>0.70843895652173916</v>
      </c>
      <c r="Y137" s="60">
        <f t="shared" si="52"/>
        <v>0.70843895652173916</v>
      </c>
      <c r="AA137" s="60">
        <f>SUM(B137:Y137)</f>
        <v>9.689616695652175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0.38777711304347828</v>
      </c>
      <c r="H138" s="60">
        <f t="shared" si="52"/>
        <v>0.37526817391304346</v>
      </c>
      <c r="I138" s="60">
        <f t="shared" si="52"/>
        <v>0.37526817391304346</v>
      </c>
      <c r="J138" s="60">
        <f t="shared" si="52"/>
        <v>0.96944278260869587</v>
      </c>
      <c r="K138" s="60">
        <f t="shared" si="52"/>
        <v>0.96944278260869587</v>
      </c>
      <c r="L138" s="60">
        <f t="shared" si="52"/>
        <v>0.93817043478260886</v>
      </c>
      <c r="M138" s="60">
        <f t="shared" si="52"/>
        <v>0.93817043478260886</v>
      </c>
      <c r="N138" s="60">
        <f t="shared" si="52"/>
        <v>0.96944278260869587</v>
      </c>
      <c r="O138" s="60">
        <f t="shared" si="52"/>
        <v>0.96944278260869587</v>
      </c>
      <c r="P138" s="60">
        <f t="shared" si="52"/>
        <v>0.96944278260869587</v>
      </c>
      <c r="Q138" s="60">
        <f t="shared" si="52"/>
        <v>0.96944278260869587</v>
      </c>
      <c r="R138" s="60">
        <f t="shared" si="52"/>
        <v>0.93817043478260886</v>
      </c>
      <c r="S138" s="60">
        <f t="shared" si="52"/>
        <v>0.93817043478260886</v>
      </c>
      <c r="T138" s="60">
        <f t="shared" si="52"/>
        <v>0.96944278260869587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14.691749008695654</v>
      </c>
    </row>
    <row r="139" spans="1:31" x14ac:dyDescent="0.25">
      <c r="A139" s="126" t="str">
        <f>A$18</f>
        <v>beliers</v>
      </c>
      <c r="B139" s="60">
        <f t="shared" si="52"/>
        <v>0.22371756521739136</v>
      </c>
      <c r="C139" s="60">
        <f t="shared" si="52"/>
        <v>0.22371756521739136</v>
      </c>
      <c r="D139" s="60">
        <f t="shared" si="52"/>
        <v>0.20206747826086963</v>
      </c>
      <c r="E139" s="60">
        <f t="shared" si="52"/>
        <v>0.20206747826086963</v>
      </c>
      <c r="F139" s="60">
        <f t="shared" si="52"/>
        <v>0.22371756521739136</v>
      </c>
      <c r="G139" s="60">
        <f t="shared" si="52"/>
        <v>0.22371756521739136</v>
      </c>
      <c r="H139" s="60">
        <f t="shared" si="52"/>
        <v>0.21650086956521744</v>
      </c>
      <c r="I139" s="60">
        <f t="shared" si="52"/>
        <v>0.21650086956521744</v>
      </c>
      <c r="J139" s="60">
        <f t="shared" si="52"/>
        <v>0.22371756521739136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0.22371756521739136</v>
      </c>
      <c r="V139" s="60">
        <f t="shared" si="52"/>
        <v>0.21650086956521744</v>
      </c>
      <c r="W139" s="60">
        <f t="shared" si="52"/>
        <v>0.21650086956521744</v>
      </c>
      <c r="X139" s="60">
        <f t="shared" si="52"/>
        <v>0.22371756521739136</v>
      </c>
      <c r="Y139" s="60">
        <f t="shared" si="52"/>
        <v>0.22371756521739136</v>
      </c>
      <c r="AA139" s="60">
        <f t="shared" si="53"/>
        <v>3.0598789565217399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204.69940346434785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225.16934381078266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0</v>
      </c>
      <c r="F149" s="60">
        <f t="shared" si="55"/>
        <v>0</v>
      </c>
      <c r="G149" s="60">
        <f t="shared" si="55"/>
        <v>0</v>
      </c>
      <c r="H149" s="60">
        <f t="shared" si="55"/>
        <v>0</v>
      </c>
      <c r="I149" s="60">
        <f t="shared" si="55"/>
        <v>0</v>
      </c>
      <c r="J149" s="60">
        <f t="shared" si="55"/>
        <v>0</v>
      </c>
      <c r="K149" s="60">
        <f t="shared" si="55"/>
        <v>0</v>
      </c>
      <c r="L149" s="60">
        <f t="shared" si="55"/>
        <v>0</v>
      </c>
      <c r="M149" s="60">
        <f t="shared" si="55"/>
        <v>0</v>
      </c>
      <c r="N149" s="60">
        <f t="shared" si="55"/>
        <v>0</v>
      </c>
      <c r="O149" s="60">
        <f t="shared" si="55"/>
        <v>0</v>
      </c>
      <c r="P149" s="60">
        <f t="shared" si="55"/>
        <v>0</v>
      </c>
      <c r="Q149" s="60">
        <f t="shared" si="55"/>
        <v>0</v>
      </c>
      <c r="R149" s="60">
        <f t="shared" si="55"/>
        <v>0</v>
      </c>
      <c r="S149" s="60">
        <f t="shared" si="55"/>
        <v>0</v>
      </c>
      <c r="T149" s="60">
        <f t="shared" si="55"/>
        <v>0</v>
      </c>
      <c r="U149" s="60">
        <f t="shared" si="55"/>
        <v>0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</v>
      </c>
      <c r="C150" s="60">
        <f t="shared" si="56"/>
        <v>0</v>
      </c>
      <c r="D150" s="60">
        <f t="shared" si="56"/>
        <v>0</v>
      </c>
      <c r="E150" s="60">
        <f t="shared" si="56"/>
        <v>0</v>
      </c>
      <c r="F150" s="60">
        <f t="shared" si="56"/>
        <v>0</v>
      </c>
      <c r="G150" s="60">
        <f t="shared" si="56"/>
        <v>0</v>
      </c>
      <c r="H150" s="60">
        <f t="shared" si="56"/>
        <v>0</v>
      </c>
      <c r="I150" s="60">
        <f t="shared" si="56"/>
        <v>0</v>
      </c>
      <c r="J150" s="60">
        <f t="shared" si="56"/>
        <v>0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</v>
      </c>
      <c r="V150" s="60">
        <f t="shared" si="56"/>
        <v>0</v>
      </c>
      <c r="W150" s="60">
        <f t="shared" si="56"/>
        <v>0</v>
      </c>
      <c r="X150" s="60">
        <f t="shared" si="56"/>
        <v>0</v>
      </c>
      <c r="Y150" s="60">
        <f t="shared" si="56"/>
        <v>0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</v>
      </c>
      <c r="H151" s="60">
        <f t="shared" si="57"/>
        <v>0</v>
      </c>
      <c r="I151" s="60">
        <f t="shared" si="57"/>
        <v>0</v>
      </c>
      <c r="J151" s="60">
        <f t="shared" si="57"/>
        <v>0</v>
      </c>
      <c r="K151" s="60">
        <f t="shared" si="57"/>
        <v>0</v>
      </c>
      <c r="L151" s="60">
        <f t="shared" si="57"/>
        <v>0</v>
      </c>
      <c r="M151" s="60">
        <f t="shared" si="57"/>
        <v>0</v>
      </c>
      <c r="N151" s="60">
        <f t="shared" si="57"/>
        <v>0</v>
      </c>
      <c r="O151" s="60">
        <f t="shared" si="57"/>
        <v>0</v>
      </c>
      <c r="P151" s="60">
        <f t="shared" si="57"/>
        <v>0</v>
      </c>
      <c r="Q151" s="60">
        <f t="shared" si="57"/>
        <v>0</v>
      </c>
      <c r="R151" s="60">
        <f t="shared" si="57"/>
        <v>0</v>
      </c>
      <c r="S151" s="60">
        <f t="shared" si="57"/>
        <v>0</v>
      </c>
      <c r="T151" s="60">
        <f t="shared" si="57"/>
        <v>0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</v>
      </c>
      <c r="C152" s="60">
        <f t="shared" si="58"/>
        <v>0</v>
      </c>
      <c r="D152" s="60">
        <f t="shared" si="58"/>
        <v>0</v>
      </c>
      <c r="E152" s="60">
        <f t="shared" si="58"/>
        <v>0</v>
      </c>
      <c r="F152" s="60">
        <f t="shared" si="58"/>
        <v>0</v>
      </c>
      <c r="G152" s="60">
        <f t="shared" si="58"/>
        <v>0</v>
      </c>
      <c r="H152" s="60">
        <f t="shared" si="58"/>
        <v>0</v>
      </c>
      <c r="I152" s="60">
        <f t="shared" si="58"/>
        <v>0</v>
      </c>
      <c r="J152" s="60">
        <f t="shared" si="58"/>
        <v>0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</v>
      </c>
      <c r="V152" s="60">
        <f t="shared" si="58"/>
        <v>0</v>
      </c>
      <c r="W152" s="60">
        <f t="shared" si="58"/>
        <v>0</v>
      </c>
      <c r="X152" s="60">
        <f t="shared" si="58"/>
        <v>0</v>
      </c>
      <c r="Y152" s="60">
        <f t="shared" si="58"/>
        <v>0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0</v>
      </c>
      <c r="H162" s="60">
        <f t="shared" si="65"/>
        <v>0</v>
      </c>
      <c r="I162" s="60">
        <f t="shared" si="65"/>
        <v>0</v>
      </c>
      <c r="J162" s="60">
        <f t="shared" si="65"/>
        <v>0</v>
      </c>
      <c r="K162" s="60">
        <f t="shared" si="65"/>
        <v>0</v>
      </c>
      <c r="L162" s="60">
        <f t="shared" si="65"/>
        <v>0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0</v>
      </c>
      <c r="U162" s="60">
        <f t="shared" si="65"/>
        <v>0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</v>
      </c>
      <c r="C163" s="60">
        <f t="shared" si="66"/>
        <v>0</v>
      </c>
      <c r="D163" s="60">
        <f t="shared" si="66"/>
        <v>0</v>
      </c>
      <c r="E163" s="60">
        <f t="shared" si="66"/>
        <v>0</v>
      </c>
      <c r="F163" s="60">
        <f t="shared" si="66"/>
        <v>0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</v>
      </c>
      <c r="Y163" s="60">
        <f t="shared" si="66"/>
        <v>0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</v>
      </c>
      <c r="H164" s="60">
        <f t="shared" si="67"/>
        <v>0</v>
      </c>
      <c r="I164" s="60">
        <f t="shared" si="67"/>
        <v>0</v>
      </c>
      <c r="J164" s="60">
        <f t="shared" si="67"/>
        <v>0</v>
      </c>
      <c r="K164" s="60">
        <f t="shared" si="67"/>
        <v>0</v>
      </c>
      <c r="L164" s="60">
        <f t="shared" si="67"/>
        <v>0</v>
      </c>
      <c r="M164" s="60">
        <f t="shared" si="67"/>
        <v>0</v>
      </c>
      <c r="N164" s="60">
        <f t="shared" si="67"/>
        <v>0</v>
      </c>
      <c r="O164" s="60">
        <f t="shared" si="67"/>
        <v>0</v>
      </c>
      <c r="P164" s="60">
        <f t="shared" si="67"/>
        <v>0</v>
      </c>
      <c r="Q164" s="60">
        <f t="shared" si="67"/>
        <v>0</v>
      </c>
      <c r="R164" s="60">
        <f t="shared" si="67"/>
        <v>0</v>
      </c>
      <c r="S164" s="60">
        <f t="shared" si="67"/>
        <v>0</v>
      </c>
      <c r="T164" s="60">
        <f t="shared" si="67"/>
        <v>0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75">SUM(C162:C171)</f>
        <v>0</v>
      </c>
      <c r="D172" s="60">
        <f t="shared" si="75"/>
        <v>0</v>
      </c>
      <c r="E172" s="60">
        <f t="shared" si="75"/>
        <v>0</v>
      </c>
      <c r="F172" s="60">
        <f t="shared" si="75"/>
        <v>0</v>
      </c>
      <c r="G172" s="60">
        <f t="shared" si="75"/>
        <v>0</v>
      </c>
      <c r="H172" s="60">
        <f t="shared" si="75"/>
        <v>0</v>
      </c>
      <c r="I172" s="60">
        <f t="shared" si="75"/>
        <v>0</v>
      </c>
      <c r="J172" s="60">
        <f t="shared" si="75"/>
        <v>0</v>
      </c>
      <c r="K172" s="60">
        <f t="shared" si="75"/>
        <v>0</v>
      </c>
      <c r="L172" s="60">
        <f t="shared" si="75"/>
        <v>0</v>
      </c>
      <c r="M172" s="60">
        <f t="shared" si="75"/>
        <v>0</v>
      </c>
      <c r="N172" s="60">
        <f t="shared" si="75"/>
        <v>0</v>
      </c>
      <c r="O172" s="60">
        <f t="shared" si="75"/>
        <v>0</v>
      </c>
      <c r="P172" s="60">
        <f t="shared" si="75"/>
        <v>0</v>
      </c>
      <c r="Q172" s="60">
        <f t="shared" si="75"/>
        <v>0</v>
      </c>
      <c r="R172" s="60">
        <f t="shared" si="75"/>
        <v>0</v>
      </c>
      <c r="S172" s="60">
        <f t="shared" si="75"/>
        <v>0</v>
      </c>
      <c r="T172" s="60">
        <f t="shared" si="75"/>
        <v>0</v>
      </c>
      <c r="U172" s="60">
        <f t="shared" si="75"/>
        <v>0</v>
      </c>
      <c r="V172" s="60">
        <f t="shared" si="75"/>
        <v>0</v>
      </c>
      <c r="W172" s="60">
        <f t="shared" si="75"/>
        <v>0</v>
      </c>
      <c r="X172" s="60">
        <f t="shared" si="75"/>
        <v>0</v>
      </c>
      <c r="Y172" s="60">
        <f t="shared" si="75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</v>
      </c>
      <c r="C176" s="60">
        <f t="shared" si="77"/>
        <v>0</v>
      </c>
      <c r="D176" s="60">
        <f t="shared" si="77"/>
        <v>0</v>
      </c>
      <c r="E176" s="60">
        <f t="shared" si="77"/>
        <v>0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</v>
      </c>
      <c r="C178" s="60">
        <f t="shared" si="79"/>
        <v>0</v>
      </c>
      <c r="D178" s="60">
        <f t="shared" si="79"/>
        <v>0</v>
      </c>
      <c r="E178" s="60">
        <f t="shared" si="79"/>
        <v>0</v>
      </c>
      <c r="F178" s="60">
        <f t="shared" si="79"/>
        <v>0</v>
      </c>
      <c r="G178" s="60">
        <f t="shared" si="79"/>
        <v>0</v>
      </c>
      <c r="H178" s="60">
        <f t="shared" si="79"/>
        <v>0</v>
      </c>
      <c r="I178" s="60">
        <f t="shared" si="79"/>
        <v>0</v>
      </c>
      <c r="J178" s="60">
        <f t="shared" si="79"/>
        <v>0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</v>
      </c>
      <c r="V178" s="60">
        <f t="shared" si="79"/>
        <v>0</v>
      </c>
      <c r="W178" s="60">
        <f t="shared" si="79"/>
        <v>0</v>
      </c>
      <c r="X178" s="60">
        <f t="shared" si="79"/>
        <v>0</v>
      </c>
      <c r="Y178" s="60">
        <f t="shared" si="79"/>
        <v>0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</v>
      </c>
      <c r="C185" s="60">
        <f>SUM(CdTrp1!C175:C184)</f>
        <v>0</v>
      </c>
      <c r="D185" s="60">
        <f>SUM(CdTrp1!D175:D184)</f>
        <v>0</v>
      </c>
      <c r="E185" s="60">
        <f>SUM(CdTrp1!E175:E184)</f>
        <v>0</v>
      </c>
      <c r="F185" s="60">
        <f>SUM(CdTrp1!F175:F184)</f>
        <v>0</v>
      </c>
      <c r="G185" s="60">
        <f>SUM(CdTrp1!G175:G184)</f>
        <v>0</v>
      </c>
      <c r="H185" s="60">
        <f>SUM(CdTrp1!H175:H184)</f>
        <v>0</v>
      </c>
      <c r="I185" s="60">
        <f>SUM(CdTrp1!I175:I184)</f>
        <v>0</v>
      </c>
      <c r="J185" s="60">
        <f>SUM(CdTrp1!J175:J184)</f>
        <v>0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</v>
      </c>
      <c r="V185" s="60">
        <f>SUM(CdTrp1!V175:V184)</f>
        <v>0</v>
      </c>
      <c r="W185" s="60">
        <f>SUM(CdTrp1!W175:W184)</f>
        <v>0</v>
      </c>
      <c r="X185" s="60">
        <f>SUM(CdTrp1!X175:X184)</f>
        <v>0</v>
      </c>
      <c r="Y185" s="60">
        <f>SUM(CdTrp1!Y175:Y184)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</v>
      </c>
      <c r="G189" s="60">
        <f t="shared" si="87"/>
        <v>0</v>
      </c>
      <c r="H189" s="60">
        <f t="shared" si="87"/>
        <v>0</v>
      </c>
      <c r="I189" s="60">
        <f t="shared" si="87"/>
        <v>0</v>
      </c>
      <c r="J189" s="60">
        <f t="shared" si="87"/>
        <v>0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</v>
      </c>
      <c r="V189" s="60">
        <f t="shared" si="87"/>
        <v>0</v>
      </c>
      <c r="W189" s="60">
        <f t="shared" si="87"/>
        <v>0</v>
      </c>
      <c r="X189" s="60">
        <f t="shared" si="87"/>
        <v>0</v>
      </c>
      <c r="Y189" s="60">
        <f t="shared" si="87"/>
        <v>0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</v>
      </c>
      <c r="G198" s="60">
        <f t="shared" si="96"/>
        <v>0</v>
      </c>
      <c r="H198" s="60">
        <f t="shared" si="96"/>
        <v>0</v>
      </c>
      <c r="I198" s="60">
        <f t="shared" si="96"/>
        <v>0</v>
      </c>
      <c r="J198" s="60">
        <f t="shared" si="96"/>
        <v>0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</v>
      </c>
      <c r="V198" s="60">
        <f t="shared" si="96"/>
        <v>0</v>
      </c>
      <c r="W198" s="60">
        <f t="shared" si="96"/>
        <v>0</v>
      </c>
      <c r="X198" s="60">
        <f t="shared" si="96"/>
        <v>0</v>
      </c>
      <c r="Y198" s="60">
        <f t="shared" si="96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0</v>
      </c>
      <c r="N201" s="60">
        <f t="shared" si="97"/>
        <v>0</v>
      </c>
      <c r="O201" s="60">
        <f t="shared" si="97"/>
        <v>0</v>
      </c>
      <c r="P201" s="60">
        <f t="shared" si="97"/>
        <v>0</v>
      </c>
      <c r="Q201" s="60">
        <f t="shared" si="97"/>
        <v>0</v>
      </c>
      <c r="R201" s="60">
        <f t="shared" si="97"/>
        <v>0</v>
      </c>
      <c r="S201" s="60">
        <f t="shared" si="97"/>
        <v>0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0</v>
      </c>
      <c r="N211" s="60">
        <f t="shared" si="107"/>
        <v>0</v>
      </c>
      <c r="O211" s="60">
        <f t="shared" si="107"/>
        <v>0</v>
      </c>
      <c r="P211" s="60">
        <f t="shared" si="107"/>
        <v>0</v>
      </c>
      <c r="Q211" s="60">
        <f t="shared" si="107"/>
        <v>0</v>
      </c>
      <c r="R211" s="60">
        <f t="shared" si="107"/>
        <v>0</v>
      </c>
      <c r="S211" s="60">
        <f t="shared" si="107"/>
        <v>0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108">C172</f>
        <v>0</v>
      </c>
      <c r="D215" s="60">
        <f t="shared" si="108"/>
        <v>0</v>
      </c>
      <c r="E215" s="60">
        <f t="shared" si="108"/>
        <v>0</v>
      </c>
      <c r="F215" s="60">
        <f t="shared" si="108"/>
        <v>0</v>
      </c>
      <c r="G215" s="60">
        <f t="shared" si="108"/>
        <v>0</v>
      </c>
      <c r="H215" s="60">
        <f t="shared" si="108"/>
        <v>0</v>
      </c>
      <c r="I215" s="60">
        <f t="shared" si="108"/>
        <v>0</v>
      </c>
      <c r="J215" s="60">
        <f t="shared" si="108"/>
        <v>0</v>
      </c>
      <c r="K215" s="60">
        <f t="shared" si="108"/>
        <v>0</v>
      </c>
      <c r="L215" s="60">
        <f t="shared" si="108"/>
        <v>0</v>
      </c>
      <c r="M215" s="60">
        <f t="shared" si="108"/>
        <v>0</v>
      </c>
      <c r="N215" s="60">
        <f t="shared" si="108"/>
        <v>0</v>
      </c>
      <c r="O215" s="60">
        <f t="shared" si="108"/>
        <v>0</v>
      </c>
      <c r="P215" s="60">
        <f t="shared" si="108"/>
        <v>0</v>
      </c>
      <c r="Q215" s="60">
        <f t="shared" si="108"/>
        <v>0</v>
      </c>
      <c r="R215" s="60">
        <f t="shared" si="108"/>
        <v>0</v>
      </c>
      <c r="S215" s="60">
        <f t="shared" si="108"/>
        <v>0</v>
      </c>
      <c r="T215" s="60">
        <f t="shared" si="108"/>
        <v>0</v>
      </c>
      <c r="U215" s="60">
        <f t="shared" si="108"/>
        <v>0</v>
      </c>
      <c r="V215" s="60">
        <f t="shared" si="108"/>
        <v>0</v>
      </c>
      <c r="W215" s="60">
        <f t="shared" si="108"/>
        <v>0</v>
      </c>
      <c r="X215" s="60">
        <f t="shared" si="108"/>
        <v>0</v>
      </c>
      <c r="Y215" s="60">
        <f t="shared" si="108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109">C185</f>
        <v>0</v>
      </c>
      <c r="D216" s="60">
        <f t="shared" si="109"/>
        <v>0</v>
      </c>
      <c r="E216" s="60">
        <f t="shared" si="109"/>
        <v>0</v>
      </c>
      <c r="F216" s="60">
        <f t="shared" si="109"/>
        <v>0</v>
      </c>
      <c r="G216" s="60">
        <f t="shared" si="109"/>
        <v>0</v>
      </c>
      <c r="H216" s="60">
        <f t="shared" si="109"/>
        <v>0</v>
      </c>
      <c r="I216" s="60">
        <f t="shared" si="109"/>
        <v>0</v>
      </c>
      <c r="J216" s="60">
        <f t="shared" si="109"/>
        <v>0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</v>
      </c>
      <c r="V216" s="60">
        <f t="shared" si="109"/>
        <v>0</v>
      </c>
      <c r="W216" s="60">
        <f t="shared" si="109"/>
        <v>0</v>
      </c>
      <c r="X216" s="60">
        <f t="shared" si="109"/>
        <v>0</v>
      </c>
      <c r="Y216" s="60">
        <f t="shared" si="109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</v>
      </c>
      <c r="G217" s="60">
        <f t="shared" si="110"/>
        <v>0</v>
      </c>
      <c r="H217" s="60">
        <f t="shared" si="110"/>
        <v>0</v>
      </c>
      <c r="I217" s="60">
        <f t="shared" si="110"/>
        <v>0</v>
      </c>
      <c r="J217" s="60">
        <f t="shared" si="110"/>
        <v>0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</v>
      </c>
      <c r="V217" s="60">
        <f t="shared" si="110"/>
        <v>0</v>
      </c>
      <c r="W217" s="60">
        <f t="shared" si="110"/>
        <v>0</v>
      </c>
      <c r="X217" s="60">
        <f t="shared" si="110"/>
        <v>0</v>
      </c>
      <c r="Y217" s="60">
        <f t="shared" si="110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0</v>
      </c>
      <c r="N218" s="60">
        <f t="shared" si="111"/>
        <v>0</v>
      </c>
      <c r="O218" s="60">
        <f t="shared" si="111"/>
        <v>0</v>
      </c>
      <c r="P218" s="60">
        <f t="shared" si="111"/>
        <v>0</v>
      </c>
      <c r="Q218" s="60">
        <f t="shared" si="111"/>
        <v>0</v>
      </c>
      <c r="R218" s="60">
        <f t="shared" si="111"/>
        <v>0</v>
      </c>
      <c r="S218" s="60">
        <f t="shared" si="111"/>
        <v>0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3" activePane="bottomLeft" state="frozen"/>
      <selection pane="bottomLeft" activeCell="B52" sqref="B52:Y54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1</v>
      </c>
      <c r="I52" s="59">
        <v>1</v>
      </c>
      <c r="J52" s="59">
        <v>1</v>
      </c>
      <c r="K52" s="59">
        <v>1</v>
      </c>
      <c r="L52" s="59">
        <v>1</v>
      </c>
      <c r="M52" s="59">
        <v>1</v>
      </c>
      <c r="N52" s="59">
        <v>1</v>
      </c>
      <c r="O52" s="59">
        <v>1</v>
      </c>
      <c r="P52" s="59">
        <v>1</v>
      </c>
      <c r="Q52" s="59">
        <v>1</v>
      </c>
      <c r="R52" s="59">
        <v>1</v>
      </c>
      <c r="S52" s="59">
        <v>1</v>
      </c>
      <c r="T52" s="59">
        <v>1</v>
      </c>
      <c r="U52" s="59">
        <v>1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1</v>
      </c>
      <c r="H53" s="59">
        <v>1</v>
      </c>
      <c r="I53" s="59">
        <v>1</v>
      </c>
      <c r="J53" s="59">
        <v>1</v>
      </c>
      <c r="K53" s="59">
        <v>1</v>
      </c>
      <c r="L53" s="59">
        <v>1</v>
      </c>
      <c r="M53" s="59">
        <v>1</v>
      </c>
      <c r="N53" s="59">
        <v>1</v>
      </c>
      <c r="O53" s="59">
        <v>1</v>
      </c>
      <c r="P53" s="59">
        <v>1</v>
      </c>
      <c r="Q53" s="59">
        <v>1</v>
      </c>
      <c r="R53" s="59">
        <v>1</v>
      </c>
      <c r="S53" s="59">
        <v>1</v>
      </c>
      <c r="T53" s="59">
        <v>1</v>
      </c>
      <c r="U53" s="59">
        <v>1</v>
      </c>
      <c r="V53" s="59">
        <v>1</v>
      </c>
      <c r="W53" s="59">
        <v>1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1</v>
      </c>
      <c r="H54" s="59">
        <v>1</v>
      </c>
      <c r="I54" s="59">
        <v>1</v>
      </c>
      <c r="J54" s="59">
        <v>1</v>
      </c>
      <c r="K54" s="59">
        <v>1</v>
      </c>
      <c r="L54" s="59">
        <v>1</v>
      </c>
      <c r="M54" s="59">
        <v>1</v>
      </c>
      <c r="N54" s="59">
        <v>1</v>
      </c>
      <c r="O54" s="59">
        <v>1</v>
      </c>
      <c r="P54" s="59">
        <v>1</v>
      </c>
      <c r="Q54" s="59">
        <v>1</v>
      </c>
      <c r="R54" s="59">
        <v>1</v>
      </c>
      <c r="S54" s="59">
        <v>1</v>
      </c>
      <c r="T54" s="59">
        <v>1</v>
      </c>
      <c r="U54" s="59">
        <v>1</v>
      </c>
      <c r="V54" s="59">
        <v>1</v>
      </c>
      <c r="W54" s="59">
        <v>1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44.555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232.3092</v>
      </c>
      <c r="I63" s="60">
        <f t="shared" si="18"/>
        <v>227.58959999999999</v>
      </c>
      <c r="J63" s="60">
        <f t="shared" si="18"/>
        <v>230.29900000000001</v>
      </c>
      <c r="K63" s="60">
        <f t="shared" si="18"/>
        <v>230.29900000000001</v>
      </c>
      <c r="L63" s="60">
        <f t="shared" si="18"/>
        <v>222.87</v>
      </c>
      <c r="M63" s="60">
        <f t="shared" si="18"/>
        <v>222.87</v>
      </c>
      <c r="N63" s="60">
        <f t="shared" si="18"/>
        <v>230.29900000000001</v>
      </c>
      <c r="O63" s="60">
        <f t="shared" si="18"/>
        <v>230.29900000000001</v>
      </c>
      <c r="P63" s="60">
        <f t="shared" si="18"/>
        <v>230.29900000000001</v>
      </c>
      <c r="Q63" s="60">
        <f t="shared" si="18"/>
        <v>230.29900000000001</v>
      </c>
      <c r="R63" s="60">
        <f t="shared" si="18"/>
        <v>211.14</v>
      </c>
      <c r="S63" s="60">
        <f t="shared" si="18"/>
        <v>211.14</v>
      </c>
      <c r="T63" s="60">
        <f t="shared" si="18"/>
        <v>224.33831999999998</v>
      </c>
      <c r="U63" s="60">
        <f t="shared" si="18"/>
        <v>230.49864000000002</v>
      </c>
      <c r="V63" s="60">
        <f t="shared" si="18"/>
        <v>241.7484</v>
      </c>
      <c r="W63" s="60">
        <f t="shared" si="18"/>
        <v>246.46800000000002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9.9820000000000011</v>
      </c>
      <c r="H64" s="60">
        <f t="shared" si="18"/>
        <v>19.32</v>
      </c>
      <c r="I64" s="60">
        <f t="shared" si="18"/>
        <v>28.979999999999997</v>
      </c>
      <c r="J64" s="60">
        <f t="shared" si="18"/>
        <v>29.945999999999994</v>
      </c>
      <c r="K64" s="60">
        <f t="shared" si="18"/>
        <v>29.945999999999994</v>
      </c>
      <c r="L64" s="60">
        <f t="shared" si="18"/>
        <v>28.979999999999997</v>
      </c>
      <c r="M64" s="60">
        <f t="shared" si="18"/>
        <v>28.979999999999997</v>
      </c>
      <c r="N64" s="60">
        <f t="shared" si="18"/>
        <v>29.945999999999994</v>
      </c>
      <c r="O64" s="60">
        <f t="shared" si="18"/>
        <v>29.945999999999994</v>
      </c>
      <c r="P64" s="60">
        <f t="shared" si="18"/>
        <v>29.945999999999994</v>
      </c>
      <c r="Q64" s="60">
        <f t="shared" si="18"/>
        <v>29.945999999999994</v>
      </c>
      <c r="R64" s="60">
        <f t="shared" si="18"/>
        <v>28.979999999999997</v>
      </c>
      <c r="S64" s="60">
        <f t="shared" si="18"/>
        <v>28.979999999999997</v>
      </c>
      <c r="T64" s="60">
        <f t="shared" si="18"/>
        <v>24.954999999999998</v>
      </c>
      <c r="U64" s="60">
        <f t="shared" si="18"/>
        <v>24.954999999999998</v>
      </c>
      <c r="V64" s="60">
        <f t="shared" si="18"/>
        <v>9.66</v>
      </c>
      <c r="W64" s="60">
        <f t="shared" si="18"/>
        <v>4.83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119.78399999999998</v>
      </c>
      <c r="G65" s="60">
        <f t="shared" si="18"/>
        <v>119.78399999999998</v>
      </c>
      <c r="H65" s="60">
        <f t="shared" si="18"/>
        <v>115.91999999999999</v>
      </c>
      <c r="I65" s="60">
        <f t="shared" si="18"/>
        <v>115.91999999999999</v>
      </c>
      <c r="J65" s="60">
        <f t="shared" si="18"/>
        <v>119.78399999999998</v>
      </c>
      <c r="K65" s="60">
        <f t="shared" si="18"/>
        <v>119.78399999999998</v>
      </c>
      <c r="L65" s="60">
        <f t="shared" si="18"/>
        <v>115.91999999999999</v>
      </c>
      <c r="M65" s="60">
        <f t="shared" si="18"/>
        <v>115.91999999999999</v>
      </c>
      <c r="N65" s="60">
        <f t="shared" si="18"/>
        <v>119.78399999999998</v>
      </c>
      <c r="O65" s="60">
        <f t="shared" si="18"/>
        <v>119.78399999999998</v>
      </c>
      <c r="P65" s="60">
        <f t="shared" si="18"/>
        <v>119.78399999999998</v>
      </c>
      <c r="Q65" s="60">
        <f t="shared" si="18"/>
        <v>119.78399999999998</v>
      </c>
      <c r="R65" s="60">
        <f t="shared" si="18"/>
        <v>115.91999999999999</v>
      </c>
      <c r="S65" s="60">
        <f t="shared" si="18"/>
        <v>115.91999999999999</v>
      </c>
      <c r="T65" s="60">
        <f t="shared" si="18"/>
        <v>119.78399999999998</v>
      </c>
      <c r="U65" s="60">
        <f t="shared" si="18"/>
        <v>119.78399999999998</v>
      </c>
      <c r="V65" s="60">
        <f t="shared" si="18"/>
        <v>115.91999999999999</v>
      </c>
      <c r="W65" s="60">
        <f t="shared" si="18"/>
        <v>115.91999999999999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380</v>
      </c>
      <c r="G73" s="63">
        <f t="shared" si="19"/>
        <v>375</v>
      </c>
      <c r="H73" s="63">
        <f t="shared" si="19"/>
        <v>368</v>
      </c>
      <c r="I73" s="63">
        <f t="shared" si="19"/>
        <v>372</v>
      </c>
      <c r="J73" s="63">
        <f t="shared" si="19"/>
        <v>380</v>
      </c>
      <c r="K73" s="63">
        <f t="shared" si="19"/>
        <v>380</v>
      </c>
      <c r="L73" s="63">
        <f t="shared" si="19"/>
        <v>368</v>
      </c>
      <c r="M73" s="63">
        <f t="shared" si="19"/>
        <v>368</v>
      </c>
      <c r="N73" s="63">
        <f t="shared" si="19"/>
        <v>380</v>
      </c>
      <c r="O73" s="63">
        <f t="shared" si="19"/>
        <v>380</v>
      </c>
      <c r="P73" s="63">
        <f t="shared" si="19"/>
        <v>380</v>
      </c>
      <c r="Q73" s="63">
        <f t="shared" si="19"/>
        <v>380</v>
      </c>
      <c r="R73" s="63">
        <f t="shared" si="19"/>
        <v>356</v>
      </c>
      <c r="S73" s="63">
        <f t="shared" si="19"/>
        <v>356</v>
      </c>
      <c r="T73" s="63">
        <f t="shared" si="19"/>
        <v>369</v>
      </c>
      <c r="U73" s="63">
        <f t="shared" si="19"/>
        <v>375</v>
      </c>
      <c r="V73" s="63">
        <f t="shared" si="19"/>
        <v>367</v>
      </c>
      <c r="W73" s="63">
        <f t="shared" si="19"/>
        <v>367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8911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2.8457876999999998</v>
      </c>
      <c r="I136" s="60">
        <f t="shared" si="33"/>
        <v>2.7879726000000002</v>
      </c>
      <c r="J136" s="60">
        <f t="shared" si="33"/>
        <v>2.8211627500000001</v>
      </c>
      <c r="K136" s="60">
        <f t="shared" si="33"/>
        <v>2.8211627500000001</v>
      </c>
      <c r="L136" s="60">
        <f t="shared" si="33"/>
        <v>2.7301575000000002</v>
      </c>
      <c r="M136" s="60">
        <f t="shared" si="33"/>
        <v>2.7301575000000002</v>
      </c>
      <c r="N136" s="60">
        <f t="shared" si="33"/>
        <v>2.8211627500000001</v>
      </c>
      <c r="O136" s="60">
        <f t="shared" si="33"/>
        <v>2.8211627500000001</v>
      </c>
      <c r="P136" s="60">
        <f t="shared" si="33"/>
        <v>2.8211627500000001</v>
      </c>
      <c r="Q136" s="60">
        <f t="shared" si="33"/>
        <v>2.8211627500000001</v>
      </c>
      <c r="R136" s="60">
        <f t="shared" si="33"/>
        <v>2.32254</v>
      </c>
      <c r="S136" s="60">
        <f t="shared" si="33"/>
        <v>2.32254</v>
      </c>
      <c r="T136" s="60">
        <f t="shared" si="33"/>
        <v>3.1407364799999997</v>
      </c>
      <c r="U136" s="60">
        <f t="shared" si="33"/>
        <v>3.2269809600000001</v>
      </c>
      <c r="V136" s="60">
        <f t="shared" si="33"/>
        <v>3.3844776000000003</v>
      </c>
      <c r="W136" s="60">
        <f t="shared" si="33"/>
        <v>3.4505520000000001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70.410337885925927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0.12976600000000002</v>
      </c>
      <c r="H137" s="60">
        <f t="shared" si="34"/>
        <v>0.25115999999999999</v>
      </c>
      <c r="I137" s="60">
        <f t="shared" si="34"/>
        <v>0.37673999999999996</v>
      </c>
      <c r="J137" s="60">
        <f t="shared" si="34"/>
        <v>0.38929799999999992</v>
      </c>
      <c r="K137" s="60">
        <f t="shared" si="34"/>
        <v>0.38929799999999992</v>
      </c>
      <c r="L137" s="60">
        <f t="shared" si="34"/>
        <v>0.37673999999999996</v>
      </c>
      <c r="M137" s="60">
        <f t="shared" si="34"/>
        <v>0.37673999999999996</v>
      </c>
      <c r="N137" s="60">
        <f t="shared" si="34"/>
        <v>0.38929799999999992</v>
      </c>
      <c r="O137" s="60">
        <f t="shared" si="34"/>
        <v>0.38929799999999992</v>
      </c>
      <c r="P137" s="60">
        <f t="shared" si="34"/>
        <v>0.38929799999999992</v>
      </c>
      <c r="Q137" s="60">
        <f t="shared" si="34"/>
        <v>0.38929799999999992</v>
      </c>
      <c r="R137" s="60">
        <f t="shared" si="34"/>
        <v>0.37673999999999996</v>
      </c>
      <c r="S137" s="60">
        <f t="shared" si="34"/>
        <v>0.37673999999999996</v>
      </c>
      <c r="T137" s="60">
        <f t="shared" si="34"/>
        <v>0.32441499999999995</v>
      </c>
      <c r="U137" s="60">
        <f t="shared" si="34"/>
        <v>0.32441499999999995</v>
      </c>
      <c r="V137" s="60">
        <f t="shared" si="34"/>
        <v>0.12558</v>
      </c>
      <c r="W137" s="60">
        <f t="shared" si="34"/>
        <v>6.2789999999999999E-2</v>
      </c>
      <c r="X137" s="60">
        <f t="shared" si="34"/>
        <v>0</v>
      </c>
      <c r="Y137" s="60">
        <f t="shared" si="34"/>
        <v>0</v>
      </c>
      <c r="AA137" s="60">
        <f>SUM(B137:Y137)</f>
        <v>5.4376139999999999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1.5571919999999997</v>
      </c>
      <c r="G138" s="60">
        <f t="shared" si="34"/>
        <v>1.5571919999999997</v>
      </c>
      <c r="H138" s="60">
        <f t="shared" si="34"/>
        <v>1.5069599999999999</v>
      </c>
      <c r="I138" s="60">
        <f t="shared" si="34"/>
        <v>1.5069599999999999</v>
      </c>
      <c r="J138" s="60">
        <f t="shared" si="34"/>
        <v>1.5571919999999997</v>
      </c>
      <c r="K138" s="60">
        <f t="shared" si="34"/>
        <v>1.5571919999999997</v>
      </c>
      <c r="L138" s="60">
        <f t="shared" si="34"/>
        <v>1.5069599999999999</v>
      </c>
      <c r="M138" s="60">
        <f t="shared" si="34"/>
        <v>1.5069599999999999</v>
      </c>
      <c r="N138" s="60">
        <f t="shared" si="34"/>
        <v>1.5571919999999997</v>
      </c>
      <c r="O138" s="60">
        <f t="shared" si="34"/>
        <v>1.5571919999999997</v>
      </c>
      <c r="P138" s="60">
        <f t="shared" si="34"/>
        <v>1.5571919999999997</v>
      </c>
      <c r="Q138" s="60">
        <f t="shared" si="34"/>
        <v>1.5571919999999997</v>
      </c>
      <c r="R138" s="60">
        <f t="shared" si="34"/>
        <v>1.5069599999999999</v>
      </c>
      <c r="S138" s="60">
        <f t="shared" si="34"/>
        <v>1.5069599999999999</v>
      </c>
      <c r="T138" s="60">
        <f t="shared" si="34"/>
        <v>1.5571919999999997</v>
      </c>
      <c r="U138" s="60">
        <f t="shared" si="34"/>
        <v>1.5571919999999997</v>
      </c>
      <c r="V138" s="60">
        <f t="shared" si="34"/>
        <v>1.5069599999999999</v>
      </c>
      <c r="W138" s="60">
        <f t="shared" si="34"/>
        <v>1.5069599999999999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36.076880000000003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111.92483188592593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117.52107348022223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0</v>
      </c>
      <c r="I185" s="60">
        <f>SUM(CdTrp2!I175:I184)</f>
        <v>0</v>
      </c>
      <c r="J185" s="60">
        <f>SUM(CdTrp2!J175:J184)</f>
        <v>0</v>
      </c>
      <c r="K185" s="60">
        <f>SUM(CdTrp2!K175:K184)</f>
        <v>0</v>
      </c>
      <c r="L185" s="60">
        <f>SUM(CdTrp2!L175:L184)</f>
        <v>0</v>
      </c>
      <c r="M185" s="60">
        <f>SUM(CdTrp2!M175:M184)</f>
        <v>0</v>
      </c>
      <c r="N185" s="60">
        <f>SUM(CdTrp2!N175:N184)</f>
        <v>0</v>
      </c>
      <c r="O185" s="60">
        <f>SUM(CdTrp2!O175:O184)</f>
        <v>0</v>
      </c>
      <c r="P185" s="60">
        <f>SUM(CdTrp2!P175:P184)</f>
        <v>0</v>
      </c>
      <c r="Q185" s="60">
        <f>SUM(CdTrp2!Q175:Q184)</f>
        <v>0</v>
      </c>
      <c r="R185" s="60">
        <f>SUM(CdTrp2!R175:R184)</f>
        <v>0</v>
      </c>
      <c r="S185" s="60">
        <f>SUM(CdTrp2!S175:S184)</f>
        <v>0</v>
      </c>
      <c r="T185" s="60">
        <f>SUM(CdTrp2!T175:T184)</f>
        <v>0</v>
      </c>
      <c r="U185" s="60">
        <f>SUM(CdTrp2!U175:U184)</f>
        <v>0</v>
      </c>
      <c r="V185" s="60">
        <f>SUM(CdTrp2!V175:V184)</f>
        <v>0</v>
      </c>
      <c r="W185" s="60">
        <f>SUM(CdTrp2!W175:W184)</f>
        <v>0</v>
      </c>
      <c r="X185" s="60">
        <f>SUM(CdTrp2!X175:X184)</f>
        <v>0</v>
      </c>
      <c r="Y185" s="60">
        <f>SUM(CdTrp2!Y175:Y184)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2023-01-15T18:47:00Z</dcterms:modified>
</cp:coreProperties>
</file>