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7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96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D5" i="29"/>
  <c r="BE5" i="29" s="1"/>
  <c r="BF5" i="29" s="1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BD7" i="29" s="1"/>
  <c r="BE7" i="29" s="1"/>
  <c r="BF7" i="29" s="1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G21" i="29" l="1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J7" i="29"/>
  <c r="BK7" i="29"/>
  <c r="BL7" i="29"/>
  <c r="BG7" i="29"/>
  <c r="BH7" i="29"/>
  <c r="BK14" i="29"/>
  <c r="BJ14" i="29"/>
  <c r="BL14" i="29"/>
  <c r="BG14" i="29"/>
  <c r="BI14" i="29"/>
  <c r="BG13" i="29"/>
  <c r="BL13" i="29"/>
  <c r="BK13" i="29"/>
  <c r="BG12" i="29"/>
  <c r="BJ8" i="29"/>
  <c r="BH8" i="29"/>
  <c r="BK8" i="29"/>
  <c r="BL8" i="29"/>
  <c r="BG8" i="29"/>
  <c r="BG18" i="29"/>
  <c r="BH18" i="29"/>
  <c r="BJ18" i="29"/>
  <c r="BK18" i="29"/>
  <c r="BL18" i="29"/>
  <c r="BI17" i="29"/>
  <c r="BJ17" i="29"/>
  <c r="BG17" i="29"/>
  <c r="BK17" i="29"/>
  <c r="BL17" i="29"/>
  <c r="BL5" i="29"/>
  <c r="BG5" i="29"/>
  <c r="BH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I19" i="29" l="1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U30" i="29"/>
  <c r="T30" i="29"/>
  <c r="S30" i="29"/>
  <c r="R30" i="29"/>
  <c r="N30" i="29"/>
  <c r="M30" i="29"/>
  <c r="F30" i="29"/>
  <c r="E30" i="29"/>
  <c r="D30" i="29"/>
  <c r="C30" i="29"/>
  <c r="Z29" i="29"/>
  <c r="Y29" i="29"/>
  <c r="U29" i="29"/>
  <c r="T29" i="29"/>
  <c r="S29" i="29"/>
  <c r="R29" i="29"/>
  <c r="N29" i="29"/>
  <c r="M29" i="29"/>
  <c r="F29" i="29"/>
  <c r="E29" i="29"/>
  <c r="D29" i="29"/>
  <c r="C29" i="29"/>
  <c r="T12" i="29"/>
  <c r="S12" i="29"/>
  <c r="R12" i="29"/>
  <c r="Q12" i="29"/>
  <c r="P12" i="29"/>
  <c r="O12" i="29"/>
  <c r="N12" i="29"/>
  <c r="K12" i="29"/>
  <c r="J12" i="29"/>
  <c r="I12" i="29"/>
  <c r="H12" i="29"/>
  <c r="E12" i="29"/>
  <c r="D12" i="29"/>
  <c r="C12" i="29"/>
  <c r="K10" i="29"/>
  <c r="J10" i="29"/>
  <c r="I10" i="29"/>
  <c r="H10" i="29"/>
  <c r="E10" i="29"/>
  <c r="D10" i="29"/>
  <c r="C10" i="29"/>
  <c r="T9" i="29"/>
  <c r="S9" i="29"/>
  <c r="R9" i="29"/>
  <c r="Q9" i="29"/>
  <c r="P9" i="29"/>
  <c r="O9" i="29"/>
  <c r="N9" i="29"/>
  <c r="K9" i="29"/>
  <c r="J9" i="29"/>
  <c r="I9" i="29"/>
  <c r="H9" i="29"/>
  <c r="E9" i="29"/>
  <c r="D9" i="29"/>
  <c r="C9" i="29"/>
  <c r="T8" i="29"/>
  <c r="S8" i="29"/>
  <c r="R8" i="29"/>
  <c r="Q8" i="29"/>
  <c r="P8" i="29"/>
  <c r="O8" i="29"/>
  <c r="N8" i="29"/>
  <c r="K8" i="29"/>
  <c r="J8" i="29"/>
  <c r="I8" i="29"/>
  <c r="H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Z169" i="31"/>
  <c r="Y169" i="31"/>
  <c r="X169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Z169" i="28"/>
  <c r="Y169" i="28"/>
  <c r="X169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T169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A106" i="30" l="1"/>
  <c r="BB106" i="30"/>
  <c r="BF106" i="30"/>
  <c r="BH106" i="30"/>
  <c r="BI106" i="30"/>
  <c r="BN106" i="30"/>
  <c r="BJ106" i="30"/>
  <c r="BC106" i="30"/>
  <c r="BK106" i="30"/>
  <c r="BD106" i="30"/>
  <c r="BL106" i="30"/>
  <c r="BE106" i="30"/>
  <c r="BM106" i="30"/>
  <c r="BG106" i="30"/>
  <c r="BO106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59" i="33" l="1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I220" i="33" s="1"/>
  <c r="I221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T236" i="31"/>
  <c r="C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S20" i="29"/>
  <c r="C20" i="29"/>
  <c r="S4" i="29"/>
  <c r="C4" i="29"/>
  <c r="S3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BG27" i="30" l="1"/>
  <c r="BL27" i="30"/>
  <c r="BN27" i="30"/>
  <c r="AV27" i="30"/>
  <c r="BO27" i="30"/>
  <c r="AX27" i="30"/>
  <c r="AY27" i="30"/>
  <c r="D188" i="33"/>
  <c r="D239" i="33"/>
  <c r="D225" i="33"/>
  <c r="D223" i="33"/>
  <c r="D224" i="33"/>
  <c r="BD4" i="29"/>
  <c r="BE4" i="29" s="1"/>
  <c r="BF4" i="29" s="1"/>
  <c r="Z168" i="28"/>
  <c r="Y168" i="28"/>
  <c r="AB168" i="28" s="1"/>
  <c r="T168" i="28"/>
  <c r="X168" i="28"/>
  <c r="AA168" i="28" s="1"/>
  <c r="T168" i="31"/>
  <c r="AF168" i="31" s="1"/>
  <c r="Z168" i="31"/>
  <c r="AC168" i="31" s="1"/>
  <c r="Y168" i="31"/>
  <c r="X168" i="31"/>
  <c r="AA168" i="31" s="1"/>
  <c r="X188" i="28"/>
  <c r="Z188" i="28"/>
  <c r="AC188" i="28" s="1"/>
  <c r="T188" i="28"/>
  <c r="Y188" i="28"/>
  <c r="AB188" i="28" s="1"/>
  <c r="X188" i="31"/>
  <c r="AA188" i="31" s="1"/>
  <c r="Z188" i="31"/>
  <c r="AC188" i="31" s="1"/>
  <c r="T188" i="31"/>
  <c r="Y188" i="31"/>
  <c r="AB188" i="31" s="1"/>
  <c r="Z191" i="28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X189" i="28"/>
  <c r="AA189" i="28" s="1"/>
  <c r="Z189" i="28"/>
  <c r="AC189" i="28" s="1"/>
  <c r="T189" i="28"/>
  <c r="Z189" i="3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AF188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B168" i="31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C187" i="33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C189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68" i="28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188" i="28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20" i="29"/>
  <c r="O21" i="29" s="1"/>
  <c r="O7" i="29" s="1"/>
  <c r="O4" i="29"/>
  <c r="O3" i="29"/>
  <c r="W5" i="29"/>
  <c r="W9" i="29" s="1"/>
  <c r="W20" i="29"/>
  <c r="W21" i="29" s="1"/>
  <c r="W7" i="29" s="1"/>
  <c r="W12" i="29" s="1"/>
  <c r="W4" i="29"/>
  <c r="W3" i="29"/>
  <c r="W8" i="29" s="1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20" i="29"/>
  <c r="P4" i="29"/>
  <c r="P3" i="29"/>
  <c r="X26" i="29"/>
  <c r="X30" i="29" s="1"/>
  <c r="X25" i="29"/>
  <c r="X29" i="29" s="1"/>
  <c r="H5" i="29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20" i="29"/>
  <c r="Q21" i="29" s="1"/>
  <c r="Q7" i="29" s="1"/>
  <c r="Q4" i="29"/>
  <c r="Q3" i="29"/>
  <c r="Y5" i="29"/>
  <c r="Y9" i="29" s="1"/>
  <c r="Y20" i="29"/>
  <c r="Y21" i="29" s="1"/>
  <c r="Y7" i="29" s="1"/>
  <c r="Y12" i="29" s="1"/>
  <c r="Y4" i="29"/>
  <c r="Y3" i="29"/>
  <c r="Y8" i="29" s="1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20" i="29"/>
  <c r="T21" i="29" s="1"/>
  <c r="T7" i="29" s="1"/>
  <c r="T4" i="29"/>
  <c r="T3" i="29"/>
  <c r="D26" i="29"/>
  <c r="D25" i="29"/>
  <c r="L26" i="29"/>
  <c r="L30" i="29" s="1"/>
  <c r="L25" i="29"/>
  <c r="L29" i="29" s="1"/>
  <c r="T26" i="29"/>
  <c r="T25" i="29"/>
  <c r="E71" i="29"/>
  <c r="E3" i="29"/>
  <c r="E4" i="29"/>
  <c r="E5" i="29"/>
  <c r="E20" i="29"/>
  <c r="E21" i="29" s="1"/>
  <c r="E7" i="29" s="1"/>
  <c r="M4" i="29"/>
  <c r="M5" i="29"/>
  <c r="M9" i="29" s="1"/>
  <c r="M3" i="29"/>
  <c r="M8" i="29" s="1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25" i="29"/>
  <c r="C3" i="29"/>
  <c r="C201" i="29" s="1"/>
  <c r="S25" i="29"/>
  <c r="F5" i="29"/>
  <c r="F9" i="29" s="1"/>
  <c r="F20" i="29"/>
  <c r="F21" i="29" s="1"/>
  <c r="F7" i="29" s="1"/>
  <c r="F12" i="29" s="1"/>
  <c r="F4" i="29"/>
  <c r="F3" i="29"/>
  <c r="F8" i="29" s="1"/>
  <c r="N5" i="29"/>
  <c r="N20" i="29"/>
  <c r="N21" i="29" s="1"/>
  <c r="N7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X235" i="31"/>
  <c r="C308" i="33" s="1"/>
  <c r="T256" i="31"/>
  <c r="U256" i="31" s="1"/>
  <c r="T258" i="31"/>
  <c r="U258" i="31" s="1"/>
  <c r="T260" i="31"/>
  <c r="U260" i="31" s="1"/>
  <c r="X236" i="31"/>
  <c r="C309" i="33" s="1"/>
  <c r="T275" i="31"/>
  <c r="X275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P21" i="29"/>
  <c r="P7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AB189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C191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C191" i="33" l="1"/>
  <c r="D234" i="33"/>
  <c r="D182" i="33"/>
  <c r="AJ215" i="33" s="1"/>
  <c r="D187" i="33"/>
  <c r="AJ218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K201" i="29"/>
  <c r="AN215" i="33"/>
  <c r="AK226" i="33"/>
  <c r="AO226" i="33" s="1"/>
  <c r="C6" i="29"/>
  <c r="C181" i="29"/>
  <c r="C196" i="29" s="1"/>
  <c r="S59" i="29"/>
  <c r="V196" i="31"/>
  <c r="U188" i="31"/>
  <c r="AI184" i="28"/>
  <c r="AG196" i="31"/>
  <c r="AG188" i="31"/>
  <c r="V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M201" i="29"/>
  <c r="Y201" i="29"/>
  <c r="I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P201" i="29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R201" i="29"/>
  <c r="F201" i="29"/>
  <c r="H201" i="29"/>
  <c r="W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Q201" i="29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N201" i="29"/>
  <c r="O201" i="29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D84" i="30" l="1"/>
  <c r="BD81" i="30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AZ86" i="30" l="1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C304" i="33"/>
  <c r="AA240" i="31"/>
  <c r="AB240" i="31" s="1"/>
  <c r="C310" i="33"/>
  <c r="K48" i="28"/>
  <c r="B154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AC240" i="31"/>
  <c r="AF240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B155" i="31"/>
  <c r="I155" i="31" s="1"/>
  <c r="B149" i="31"/>
  <c r="J149" i="31" s="1"/>
  <c r="C222" i="33" s="1"/>
  <c r="J154" i="31"/>
  <c r="C227" i="33" s="1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Q87" i="30" l="1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S102" i="30" s="1"/>
  <c r="X10" i="30" s="1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L210" i="33" l="1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BM178" i="33" l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6" i="33" s="1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Y146" i="33" l="1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CE147" i="33"/>
  <c r="CE148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AY148" i="33" l="1"/>
  <c r="AY163" i="33" s="1"/>
  <c r="CF148" i="33"/>
  <c r="CF163" i="33" s="1"/>
  <c r="CB148" i="33"/>
  <c r="CB163" i="33" s="1"/>
  <c r="AZ147" i="33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AZ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81" i="29"/>
  <c r="D196" i="29" s="1"/>
  <c r="H76" i="30" s="1"/>
  <c r="E6" i="29"/>
  <c r="E181" i="29"/>
  <c r="E196" i="29" s="1"/>
  <c r="I76" i="30" s="1"/>
  <c r="K6" i="29"/>
  <c r="K181" i="29"/>
  <c r="K196" i="29" s="1"/>
  <c r="O76" i="30" s="1"/>
  <c r="G18" i="29"/>
  <c r="T6" i="29"/>
  <c r="T10" i="29" s="1"/>
  <c r="T181" i="29"/>
  <c r="T196" i="29" s="1"/>
  <c r="X76" i="30" s="1"/>
  <c r="H6" i="29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D245" i="33" l="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AJ8" i="29" s="1"/>
  <c r="D203" i="29"/>
  <c r="AJ5" i="29" s="1"/>
  <c r="X249" i="31" s="1"/>
  <c r="BO102" i="30"/>
  <c r="Z9" i="30" s="1"/>
  <c r="Z13" i="30" s="1"/>
  <c r="F13" i="30" s="1"/>
  <c r="B39" i="18"/>
  <c r="B81" i="30" l="1"/>
  <c r="F81" i="30" s="1"/>
  <c r="B114" i="30" s="1"/>
  <c r="F76" i="30"/>
  <c r="T245" i="31"/>
  <c r="F75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7" i="33" l="1"/>
  <c r="D277" i="33" s="1"/>
  <c r="C193" i="33"/>
  <c r="D193" i="33" s="1"/>
  <c r="X245" i="31"/>
  <c r="C189" i="33"/>
  <c r="D189" i="33" s="1"/>
  <c r="AK189" i="33" s="1"/>
  <c r="AO189" i="33" s="1"/>
  <c r="AO192" i="33" s="1"/>
  <c r="C278" i="33"/>
  <c r="B113" i="30"/>
  <c r="B125" i="30" s="1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S190" i="24"/>
  <c r="R190" i="24"/>
  <c r="Q190" i="24"/>
  <c r="P190" i="24"/>
  <c r="M190" i="24"/>
  <c r="L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8" i="33" l="1"/>
  <c r="D291" i="33" s="1"/>
  <c r="C291" i="33"/>
  <c r="AL208" i="33"/>
  <c r="AL209" i="33"/>
  <c r="AL207" i="33" s="1"/>
  <c r="D210" i="33" s="1"/>
  <c r="J141" i="31"/>
  <c r="C219" i="33" s="1"/>
  <c r="D219" i="33" s="1"/>
  <c r="X248" i="31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K175" i="24" l="1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U177" i="24" l="1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85" i="24" s="1"/>
  <c r="U216" i="24" s="1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K217" i="24" l="1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9" i="24"/>
  <c r="AA211" i="24"/>
  <c r="AA172" i="24"/>
  <c r="AA185" i="24"/>
  <c r="AA146" i="25"/>
  <c r="AA147" i="25" s="1"/>
  <c r="AA159" i="25"/>
  <c r="AA146" i="24"/>
  <c r="AA147" i="24" s="1"/>
  <c r="C166" i="33" s="1"/>
  <c r="D166" i="33" s="1"/>
  <c r="AA220" i="24"/>
  <c r="C300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L19" i="18" l="1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BI8" i="29" s="1"/>
  <c r="T5" i="7"/>
  <c r="BB7" i="29" s="1"/>
  <c r="BI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BI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BI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B167" i="31" s="1"/>
  <c r="J167" i="31" s="1"/>
  <c r="F84" i="30"/>
  <c r="C192" i="33" s="1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235" i="33" l="1"/>
  <c r="C236" i="33" s="1"/>
  <c r="J170" i="31"/>
  <c r="D185" i="33"/>
  <c r="X237" i="31"/>
  <c r="C307" i="33"/>
  <c r="C276" i="33"/>
  <c r="C293" i="33" s="1"/>
  <c r="D183" i="33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192" i="33" l="1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90" i="33"/>
  <c r="C292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44" i="33" l="1"/>
  <c r="AB237" i="31"/>
  <c r="AC237" i="31" s="1"/>
  <c r="AF237" i="31" s="1"/>
  <c r="B178" i="31" s="1"/>
  <c r="C240" i="33" s="1"/>
  <c r="D243" i="33"/>
  <c r="D235" i="33"/>
  <c r="D236" i="33" s="1"/>
  <c r="D276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0" i="33" l="1"/>
  <c r="D292" i="33" s="1"/>
  <c r="D293" i="33"/>
  <c r="D244" i="33"/>
  <c r="C162" i="33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294" i="33" l="1"/>
  <c r="D179" i="33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D157" i="33"/>
  <c r="C241" i="33"/>
  <c r="C238" i="33"/>
  <c r="C174" i="33"/>
  <c r="D174" i="33" s="1"/>
  <c r="D173" i="33"/>
  <c r="D241" i="33"/>
  <c r="D242" i="33" s="1"/>
  <c r="D238" i="33"/>
  <c r="B180" i="31"/>
  <c r="B181" i="31" s="1"/>
  <c r="B175" i="31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<sst xmlns="http://schemas.openxmlformats.org/spreadsheetml/2006/main" count="3090" uniqueCount="1464">
  <si>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</si>
  <si>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</si>
  <si>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</si>
  <si>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</si>
  <si>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</si>
  <si>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</si>
  <si>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</si>
  <si>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</si>
  <si>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</si>
  <si>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</si>
  <si>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</si>
  <si>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</si>
  <si>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</si>
  <si>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</si>
  <si>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</si>
  <si>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</si>
  <si>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</si>
  <si>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</si>
  <si>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</si>
  <si>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</si>
  <si>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</si>
  <si>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</si>
  <si>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</si>
  <si>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</si>
  <si>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</si>
  <si>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</si>
  <si>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</si>
  <si>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</si>
  <si>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</si>
  <si>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</si>
  <si>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</si>
  <si>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</si>
  <si>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</si>
  <si>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</si>
  <si>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</si>
  <si>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</si>
  <si>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</si>
  <si>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</si>
  <si>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</si>
  <si>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</si>
  <si>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</si>
  <si>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</si>
  <si>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</si>
  <si>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</si>
  <si>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</si>
  <si>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</si>
  <si>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</si>
  <si>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</si>
  <si>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</si>
  <si>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</si>
  <si>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</si>
  <si>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</si>
  <si>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</si>
  <si>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</si>
  <si>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</si>
  <si>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</si>
  <si>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</si>
  <si>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</si>
  <si>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</si>
  <si>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</si>
  <si>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</si>
  <si>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</si>
  <si>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</si>
  <si>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</si>
  <si>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</si>
  <si>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</si>
  <si>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</si>
  <si>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</si>
  <si>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</si>
  <si>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</si>
  <si>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</si>
  <si>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</si>
  <si>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</si>
  <si>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</si>
  <si>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</si>
  <si>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</si>
  <si>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</si>
  <si>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</si>
  <si>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</si>
  <si>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</si>
  <si>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</si>
  <si>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</si>
  <si>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</si>
  <si>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</si>
  <si>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</si>
  <si>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</si>
  <si>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</si>
  <si>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</si>
  <si>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</si>
  <si>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</si>
  <si>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</si>
  <si>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</si>
  <si>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</si>
  <si>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</si>
  <si>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</si>
  <si>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</si>
  <si>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</si>
  <si>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</si>
  <si>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</si>
  <si>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</si>
  <si>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</si>
  <si>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</si>
  <si>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</si>
  <si>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</si>
  <si>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</si>
  <si>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</si>
  <si>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</si>
  <si>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</si>
  <si>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</si>
  <si>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</si>
  <si>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</si>
  <si>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</si>
  <si>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</si>
  <si>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</si>
  <si>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</si>
  <si>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</si>
  <si>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</si>
  <si>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</si>
  <si>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</si>
  <si>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</si>
  <si>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</si>
  <si>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</si>
  <si>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</si>
  <si>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</si>
  <si>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</si>
  <si>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</si>
  <si>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</si>
  <si>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</si>
  <si>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</si>
  <si>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</si>
  <si>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</si>
  <si>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</si>
  <si>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</si>
  <si>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</si>
  <si>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</si>
  <si>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</si>
  <si>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</si>
  <si>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</si>
  <si>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</si>
  <si>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</si>
  <si>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</si>
  <si>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</si>
  <si>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</si>
  <si>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</si>
  <si>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</si>
  <si>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</si>
  <si>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</si>
  <si>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</si>
  <si>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</si>
  <si>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</si>
  <si>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</si>
  <si>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</si>
  <si>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</si>
  <si>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</si>
  <si>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</si>
  <si>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</si>
  <si>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</si>
  <si>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</si>
  <si>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</si>
  <si>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</si>
  <si>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</si>
  <si>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</si>
  <si>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</si>
  <si>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</si>
  <si>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</si>
  <si>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</si>
  <si>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</si>
  <si>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</si>
  <si>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</si>
  <si>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</si>
  <si>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</si>
  <si>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</si>
  <si>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</si>
  <si>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</si>
  <si>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</si>
  <si>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</si>
  <si>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</si>
  <si>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</si>
  <si>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</si>
  <si>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</si>
  <si>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</si>
  <si>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</si>
  <si>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</si>
  <si>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</si>
  <si>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</si>
  <si>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</si>
  <si>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</si>
  <si>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</si>
  <si>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</si>
  <si>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</si>
  <si>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</si>
  <si>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</si>
  <si>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</si>
  <si>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</si>
  <si>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</si>
  <si>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</si>
  <si>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</si>
  <si>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</si>
  <si>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</si>
  <si>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</si>
  <si>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</si>
  <si>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</si>
  <si>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</si>
  <si>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</si>
  <si>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</si>
  <si>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</si>
  <si>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</si>
  <si>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</si>
  <si>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</si>
  <si>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</si>
  <si>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</si>
  <si>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</si>
  <si>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</si>
  <si>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</si>
  <si>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</si>
  <si>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</si>
  <si>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</si>
  <si>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</si>
  <si>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</si>
  <si>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</si>
  <si>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</si>
  <si>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</si>
  <si>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</si>
  <si>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</si>
  <si>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</si>
  <si>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</si>
  <si>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</si>
  <si>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</si>
  <si>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</si>
  <si>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</si>
  <si>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</si>
  <si>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</si>
  <si>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</si>
  <si>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</si>
  <si>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</si>
  <si>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</si>
  <si>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</si>
  <si>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</si>
  <si>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</si>
  <si>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</si>
  <si>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</si>
  <si>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</si>
  <si>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</si>
  <si>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</si>
  <si>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</si>
  <si>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</si>
  <si>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</si>
  <si>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</si>
  <si>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</si>
  <si>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</si>
  <si>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</si>
  <si>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</si>
  <si>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</si>
  <si>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</si>
  <si>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</si>
  <si>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</si>
  <si>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</si>
  <si>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</si>
  <si>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</si>
  <si>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</si>
  <si>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</si>
  <si>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</si>
  <si>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</si>
  <si>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</si>
  <si>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</si>
  <si>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</si>
  <si>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</si>
  <si>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</si>
  <si>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</si>
  <si>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</si>
  <si>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</si>
  <si>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</si>
  <si>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</si>
  <si>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</si>
  <si>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</si>
  <si>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</si>
  <si>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</si>
  <si>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</si>
  <si>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</si>
  <si>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</si>
  <si>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</si>
  <si>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</si>
  <si>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</si>
  <si>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</si>
  <si>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</si>
  <si>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</si>
  <si>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</si>
  <si>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</si>
  <si>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</si>
  <si>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</si>
  <si>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</si>
  <si>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</si>
  <si>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</si>
  <si>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</si>
  <si>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</si>
  <si>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</si>
  <si>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</si>
  <si>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</si>
  <si>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</si>
  <si>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</si>
  <si>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</si>
  <si>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</si>
  <si>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</si>
  <si>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</si>
  <si>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</si>
  <si>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</si>
  <si>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</si>
  <si>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</si>
  <si>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</si>
  <si>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</si>
  <si>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</si>
  <si>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</si>
  <si>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</si>
  <si>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</si>
  <si>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</si>
  <si>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</si>
  <si>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</si>
  <si>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</si>
  <si>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</si>
  <si>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</si>
  <si>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</si>
  <si>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</si>
  <si>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</si>
  <si>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</si>
  <si>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</si>
  <si>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</si>
  <si>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</si>
  <si>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</si>
  <si>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</si>
  <si>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</si>
  <si>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</si>
  <si>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</si>
  <si>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</si>
  <si>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</si>
  <si>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</si>
  <si>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</si>
  <si>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</si>
  <si>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</si>
  <si>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</si>
  <si>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</si>
  <si>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</si>
  <si>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</si>
  <si>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</si>
  <si>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</si>
  <si>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</si>
  <si>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</si>
  <si>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</si>
  <si>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</si>
  <si>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</si>
  <si>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</si>
  <si>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</si>
  <si>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</si>
  <si>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</si>
  <si>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</si>
  <si>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</si>
  <si>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</si>
  <si>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</si>
  <si>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</si>
  <si>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</si>
  <si>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</si>
  <si>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</si>
  <si>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</si>
  <si>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</si>
  <si>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</si>
  <si>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</si>
  <si>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</si>
  <si>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</si>
  <si>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</si>
  <si>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</si>
  <si>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</si>
  <si>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</si>
  <si>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</si>
  <si>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</si>
  <si>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</si>
  <si>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</si>
  <si>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</si>
  <si>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</si>
  <si>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</si>
  <si>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</si>
  <si>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</si>
  <si>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</si>
  <si>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</si>
  <si>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</si>
  <si>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</si>
  <si>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</si>
  <si>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</si>
  <si>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</si>
  <si>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</si>
  <si>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</si>
  <si>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</si>
  <si>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</si>
  <si>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</si>
  <si>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</si>
  <si>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</si>
  <si>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</si>
  <si>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</si>
  <si>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</si>
  <si>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</si>
  <si>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</si>
  <si>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</si>
  <si>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</si>
  <si>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</si>
  <si>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</si>
  <si>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</si>
  <si>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</si>
  <si>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</si>
  <si>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</si>
  <si>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</si>
  <si>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</si>
  <si>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</si>
  <si>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</si>
  <si>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</si>
  <si>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</si>
  <si>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</si>
  <si>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</si>
  <si>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</si>
  <si>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</si>
  <si>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</si>
  <si>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</si>
  <si>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</si>
  <si>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</si>
  <si>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</si>
  <si>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</si>
  <si>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</si>
  <si>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</si>
  <si>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</si>
  <si>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</si>
  <si>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</si>
  <si>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</si>
  <si>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</si>
  <si>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</si>
  <si>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</si>
  <si>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</si>
  <si>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</si>
  <si>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</si>
  <si>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</si>
  <si>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</si>
  <si>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</si>
  <si>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</si>
  <si>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</si>
  <si>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</si>
  <si>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</si>
  <si>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</si>
  <si>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</si>
  <si>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</si>
  <si>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</si>
  <si>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</si>
  <si>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</si>
  <si>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</si>
  <si>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</si>
  <si>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</si>
  <si>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</si>
  <si>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</si>
  <si>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</si>
  <si>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</si>
  <si>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</si>
  <si>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</si>
  <si>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</si>
  <si>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</si>
  <si>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</si>
  <si>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</si>
  <si>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</si>
  <si>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</si>
  <si>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</si>
  <si>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</si>
  <si>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</si>
  <si>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</si>
  <si>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</si>
  <si>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</si>
  <si>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</si>
  <si>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</si>
  <si>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</si>
  <si>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</si>
  <si>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</si>
  <si>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</si>
  <si>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</si>
  <si>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</si>
  <si>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</si>
  <si>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</si>
  <si>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</si>
  <si>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</si>
  <si>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</si>
  <si>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</si>
  <si>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</si>
  <si>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</si>
  <si>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</si>
  <si>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</si>
  <si>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</si>
  <si>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</si>
  <si>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</si>
  <si>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</si>
  <si>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</si>
  <si>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</si>
  <si>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</si>
  <si>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</si>
  <si>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</si>
  <si>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</si>
  <si>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</si>
  <si>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</si>
  <si>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</si>
  <si>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</si>
  <si>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</si>
  <si>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</si>
  <si>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</si>
  <si>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</si>
  <si>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</si>
  <si>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</si>
  <si>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</si>
  <si>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</si>
  <si>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</si>
  <si>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</si>
  <si>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</si>
  <si>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</si>
  <si>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</si>
  <si>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</si>
  <si>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</si>
  <si>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</si>
  <si>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</si>
  <si>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</si>
  <si>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</si>
  <si>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</si>
  <si>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</si>
  <si>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</si>
  <si>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</si>
  <si>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</si>
  <si>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</si>
  <si>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</si>
  <si>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</si>
  <si>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</si>
  <si>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</si>
  <si>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</si>
  <si>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</si>
  <si>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</si>
  <si>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</si>
  <si>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</si>
  <si>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</si>
  <si>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</si>
  <si>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</si>
  <si>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</si>
  <si>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</si>
  <si>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</si>
  <si>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</si>
  <si>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</si>
  <si>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</si>
  <si>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</si>
  <si>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</si>
  <si>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</si>
  <si>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</si>
  <si>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</si>
  <si>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</si>
  <si>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</si>
  <si>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</si>
  <si>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</si>
  <si>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</si>
  <si>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</si>
  <si>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</si>
  <si>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</si>
  <si>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</si>
  <si>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</si>
  <si>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</si>
  <si>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</si>
  <si>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</si>
  <si>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</si>
  <si>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</si>
  <si>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</si>
  <si>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</si>
  <si>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</si>
  <si>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</si>
  <si>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</si>
  <si>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</si>
  <si>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</si>
  <si>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</si>
  <si>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</si>
  <si>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</si>
  <si>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</si>
  <si>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</si>
  <si>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</si>
  <si>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</si>
  <si>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</si>
  <si>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</si>
  <si>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</si>
  <si>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</si>
  <si>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</si>
  <si>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</si>
  <si>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</si>
  <si>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</si>
  <si>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</si>
  <si>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</si>
  <si>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</si>
  <si>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</si>
  <si>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</si>
  <si>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</si>
  <si>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</si>
  <si>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</si>
  <si>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</si>
  <si>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</si>
  <si>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</si>
  <si>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</si>
  <si>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</si>
  <si>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</si>
  <si>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</si>
  <si>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</si>
  <si>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</si>
  <si>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</si>
  <si>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</si>
  <si>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</si>
  <si>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</si>
  <si>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</si>
  <si>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</si>
  <si>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</si>
  <si>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</si>
  <si>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</si>
  <si>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</si>
  <si>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</si>
  <si>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</si>
  <si>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</si>
  <si>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</si>
  <si>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</si>
  <si>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</si>
  <si>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</si>
  <si>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</si>
  <si>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</si>
  <si>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</si>
  <si>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</si>
  <si>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</si>
  <si>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</si>
  <si>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</si>
  <si>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</si>
  <si>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</si>
  <si>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</si>
  <si>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</si>
  <si>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</si>
  <si>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</si>
  <si>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</si>
  <si>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</si>
  <si>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</si>
  <si>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</si>
  <si>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</si>
  <si>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</si>
  <si>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</si>
  <si>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</si>
  <si>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</si>
  <si>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</si>
  <si>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</si>
  <si>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</si>
  <si>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</si>
  <si>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</si>
  <si>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</si>
  <si>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</si>
  <si>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</si>
  <si>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</si>
  <si>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</si>
  <si>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</si>
  <si>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</si>
  <si>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</si>
  <si>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</si>
  <si>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</si>
  <si>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</si>
  <si>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</si>
  <si>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</si>
  <si>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</si>
  <si>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</si>
  <si>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</si>
  <si>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</si>
  <si>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</si>
  <si>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</si>
  <si>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</si>
  <si>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</si>
  <si>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</si>
  <si>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</si>
  <si>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</si>
  <si>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</si>
  <si>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</si>
  <si>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</si>
  <si>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</si>
  <si>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</si>
  <si>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</si>
  <si>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</si>
  <si>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</si>
  <si>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</si>
  <si>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</si>
  <si>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</si>
  <si>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</si>
  <si>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</si>
  <si>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</si>
  <si>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</si>
  <si>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</si>
  <si>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</si>
  <si>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</si>
  <si>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</si>
  <si>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</si>
  <si>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</si>
  <si>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</si>
  <si>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</si>
  <si>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</si>
  <si>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</si>
  <si>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</si>
  <si>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</si>
  <si>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</si>
  <si>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</si>
  <si>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</si>
  <si>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</si>
  <si>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</si>
  <si>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</si>
  <si>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</si>
  <si>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</si>
  <si>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</si>
  <si>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</si>
  <si>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</si>
  <si>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</si>
  <si>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</si>
  <si>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</si>
  <si>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</si>
  <si>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</si>
  <si>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</si>
  <si>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</si>
  <si>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</si>
  <si>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</si>
  <si>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</si>
  <si>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</si>
  <si>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</si>
  <si>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</si>
  <si>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</si>
  <si>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</si>
  <si>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</si>
  <si>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</si>
  <si>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</si>
  <si>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</si>
  <si>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</si>
  <si>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</si>
  <si>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</si>
  <si>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</si>
  <si>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</si>
  <si>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</si>
  <si>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</si>
  <si>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</si>
  <si>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</si>
  <si>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</si>
  <si>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</si>
  <si>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</si>
  <si>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</si>
  <si>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</si>
  <si>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</si>
  <si>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</si>
  <si>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</si>
  <si>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</si>
  <si>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</si>
  <si>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</si>
  <si>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</si>
  <si>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</si>
  <si>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</si>
  <si>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</si>
  <si>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</si>
  <si>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</si>
  <si>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</si>
  <si>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</si>
  <si>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</si>
  <si>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</si>
  <si>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</si>
  <si>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</si>
  <si>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</si>
  <si>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</si>
  <si>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</si>
  <si>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</si>
  <si>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</si>
  <si>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</si>
  <si>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</si>
  <si>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</si>
  <si>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</si>
  <si>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</si>
  <si>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</si>
  <si>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</si>
  <si>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</si>
  <si>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</si>
  <si>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</si>
  <si>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</si>
  <si>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</si>
  <si>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</si>
  <si>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</si>
  <si>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</si>
  <si>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</si>
  <si>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</si>
  <si>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</si>
  <si>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</si>
  <si>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</si>
  <si>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</si>
  <si>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</si>
  <si>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</si>
  <si>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</si>
  <si>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</si>
  <si>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</si>
  <si>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</si>
  <si>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</si>
  <si>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</si>
  <si>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</si>
  <si>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</si>
  <si>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</si>
  <si>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</si>
  <si>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</si>
  <si>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</si>
  <si>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</si>
  <si>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</si>
  <si>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</si>
  <si>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</si>
  <si>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</si>
  <si>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</si>
  <si>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</si>
  <si>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</si>
  <si>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</si>
  <si>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</si>
  <si>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</si>
  <si>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</si>
  <si>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</si>
  <si>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</si>
  <si>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</si>
  <si>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</si>
  <si>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</si>
  <si>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</si>
  <si>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</si>
  <si>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</si>
  <si>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</si>
  <si>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</si>
  <si>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</si>
  <si>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</si>
  <si>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</si>
  <si>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</si>
  <si>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</si>
  <si>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</si>
  <si>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</si>
  <si>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</si>
  <si>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</si>
  <si>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</si>
  <si>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</si>
  <si>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</si>
  <si>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</si>
  <si>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</si>
  <si>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</si>
  <si>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</si>
  <si>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</si>
  <si>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</si>
  <si>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</si>
  <si>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</si>
  <si>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</si>
  <si>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</si>
  <si>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</si>
  <si>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</si>
  <si>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</si>
  <si>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</si>
  <si>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</si>
  <si>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</si>
  <si>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</si>
  <si>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</si>
  <si>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</si>
  <si>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</si>
  <si>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</si>
  <si>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</si>
  <si>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</si>
  <si>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</si>
  <si>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</si>
  <si>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</si>
  <si>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</si>
  <si>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</si>
  <si>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</si>
  <si>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</si>
  <si>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</si>
  <si>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</si>
  <si>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</si>
  <si>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</si>
  <si>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</si>
  <si>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</si>
  <si>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</si>
  <si>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</si>
  <si>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</si>
  <si>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</si>
  <si>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</si>
  <si>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</si>
  <si>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</si>
  <si>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</si>
  <si>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</si>
  <si>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</si>
  <si>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</si>
  <si>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</si>
  <si>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</si>
  <si>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</si>
  <si>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</si>
  <si>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</si>
  <si>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</si>
  <si>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</si>
  <si>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</si>
  <si>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</si>
  <si>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</si>
  <si>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</si>
  <si>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</si>
  <si>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</si>
  <si>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</si>
  <si>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</si>
  <si>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</si>
  <si>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</si>
  <si>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</si>
  <si>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</si>
  <si>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</si>
  <si>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</si>
  <si>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</si>
  <si>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</si>
  <si>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</si>
  <si>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</si>
  <si>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</si>
  <si>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</si>
  <si>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</si>
  <si>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</si>
  <si>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</si>
  <si>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</si>
  <si>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</si>
  <si>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</si>
  <si>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</si>
  <si>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</si>
  <si>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</si>
  <si>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</si>
  <si>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</si>
  <si>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</si>
  <si>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</si>
  <si>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</si>
  <si>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</si>
  <si>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</si>
  <si>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</si>
  <si>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</si>
  <si>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</si>
  <si>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</si>
  <si>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</si>
  <si>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</si>
  <si>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</si>
  <si>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</si>
  <si>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</si>
  <si>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</si>
  <si>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</si>
  <si>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</si>
  <si>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</si>
  <si>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</si>
  <si>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</si>
  <si>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</si>
  <si>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</si>
  <si>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</si>
  <si>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</si>
  <si>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</si>
  <si>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</si>
  <si>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</si>
  <si>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</si>
  <si>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</si>
  <si>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</si>
  <si>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</si>
  <si>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</si>
  <si>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</si>
  <si>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</si>
  <si>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</si>
  <si>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</si>
  <si>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</si>
  <si>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</si>
  <si>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</si>
  <si>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</si>
  <si>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</si>
  <si>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</si>
  <si>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</si>
  <si>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</si>
  <si>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</si>
  <si>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</si>
  <si>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</si>
  <si>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</si>
  <si>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</si>
  <si>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</si>
  <si>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</si>
  <si>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</si>
  <si>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</si>
  <si>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</si>
  <si>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</si>
  <si>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</si>
  <si>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</si>
  <si>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</si>
  <si>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</si>
  <si>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</si>
  <si>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</si>
  <si>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</si>
  <si>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</si>
  <si>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</si>
  <si>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</si>
  <si>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</si>
  <si>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</si>
  <si>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</si>
  <si>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</si>
  <si>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</si>
  <si>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</si>
  <si>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</si>
  <si>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</si>
  <si>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</si>
  <si>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</si>
  <si>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</si>
  <si>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</si>
  <si>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</si>
  <si>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</si>
  <si>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</si>
  <si>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</si>
  <si>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</si>
  <si>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</si>
  <si>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</si>
  <si>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</si>
  <si>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</si>
  <si>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</si>
  <si>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</si>
  <si>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</si>
  <si>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</si>
  <si>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</si>
  <si>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</si>
  <si>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</si>
  <si>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</si>
  <si>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</si>
  <si>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</si>
  <si>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</si>
  <si>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</si>
  <si>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</si>
  <si>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</si>
  <si>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</si>
  <si>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</si>
  <si>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</si>
  <si>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</si>
  <si>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</si>
  <si>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</si>
  <si>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</si>
  <si>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</si>
  <si>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</si>
  <si>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</si>
  <si>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</si>
  <si>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</si>
  <si>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</si>
  <si>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</si>
  <si>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</si>
  <si>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</si>
  <si>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</si>
  <si>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</si>
  <si>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</si>
  <si>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</si>
  <si>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</si>
  <si>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</si>
  <si>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</si>
  <si>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</si>
  <si>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</si>
  <si>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</si>
  <si>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</si>
  <si>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</si>
  <si>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</si>
  <si>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</si>
  <si>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</si>
  <si>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</si>
  <si>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</si>
  <si>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</si>
  <si>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</si>
  <si>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</si>
  <si>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</si>
  <si>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</si>
  <si>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</si>
  <si>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</si>
  <si>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</si>
  <si>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</si>
  <si>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</si>
  <si>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</si>
  <si>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</si>
  <si>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</si>
  <si>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</si>
  <si>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</si>
  <si>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</si>
  <si>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</si>
  <si>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</si>
  <si>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</si>
  <si>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</si>
  <si>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</si>
  <si>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</si>
  <si>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</si>
  <si>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</si>
  <si>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</si>
  <si>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</si>
  <si>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</si>
  <si>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</si>
  <si>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</si>
  <si>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</si>
  <si>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</si>
  <si>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</si>
  <si>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</si>
  <si>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</si>
  <si>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</si>
  <si>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</si>
  <si>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</si>
  <si>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</si>
  <si>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</si>
  <si>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</si>
  <si>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</si>
  <si>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</si>
  <si>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</si>
  <si>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</si>
  <si>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</si>
  <si>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</si>
  <si>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</si>
  <si>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</si>
  <si>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</si>
  <si>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</si>
  <si>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</si>
  <si>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</si>
  <si>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</si>
  <si>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</si>
  <si>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</si>
  <si>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</si>
  <si>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</si>
  <si>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</si>
  <si>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</si>
  <si>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</si>
  <si>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</si>
  <si>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</si>
  <si>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</si>
  <si>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</si>
  <si>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</si>
  <si>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</si>
  <si>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</si>
  <si>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</si>
  <si>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</si>
  <si>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</si>
  <si>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</si>
  <si>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</si>
  <si>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</si>
  <si>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</si>
  <si>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</si>
  <si>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</si>
  <si>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</si>
  <si>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</si>
  <si>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</si>
  <si>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</si>
  <si>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</si>
  <si>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</si>
  <si>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</si>
  <si>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</si>
  <si>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</si>
  <si>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</si>
  <si>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</si>
  <si>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</si>
  <si>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</si>
  <si>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</si>
  <si>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</si>
  <si>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</si>
  <si>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</si>
  <si>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</si>
  <si>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</si>
  <si>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</si>
  <si>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</si>
  <si>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</si>
  <si>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</si>
  <si>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</si>
  <si>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</si>
  <si>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</si>
  <si>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</si>
  <si>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</si>
  <si>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</si>
  <si>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</si>
  <si>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</si>
  <si>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</si>
  <si>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</si>
  <si>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</si>
  <si>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</si>
  <si>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</si>
  <si>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</si>
  <si>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</si>
  <si>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</si>
  <si>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</si>
  <si>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</si>
  <si>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</si>
  <si>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</si>
  <si>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</si>
  <si>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</si>
  <si>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</si>
  <si>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</si>
  <si>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</si>
  <si>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</si>
  <si>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</si>
  <si>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</si>
  <si>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</si>
  <si>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</si>
  <si>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</si>
  <si>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</si>
  <si>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</si>
  <si>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</si>
  <si>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</si>
  <si>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</si>
  <si>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</si>
  <si>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</si>
  <si>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</si>
  <si>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</si>
  <si>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</si>
  <si>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</si>
  <si>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</si>
  <si>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</si>
  <si>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</si>
  <si>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</si>
  <si>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</si>
  <si>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</si>
  <si>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</si>
  <si>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</si>
  <si>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</si>
  <si>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</si>
  <si>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</si>
  <si>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</si>
  <si>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</si>
  <si>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</si>
  <si>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</si>
  <si>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</si>
  <si>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</si>
  <si>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</si>
  <si>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</si>
  <si>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</si>
  <si>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</si>
  <si>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</si>
  <si>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</si>
  <si>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</si>
  <si>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</si>
  <si>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</si>
  <si>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</si>
  <si>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</si>
  <si>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</si>
  <si>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</si>
  <si>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</si>
  <si>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</si>
  <si>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</si>
  <si>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</si>
  <si>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</si>
  <si>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</si>
  <si>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</si>
  <si>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</si>
  <si>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</si>
  <si>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</si>
  <si>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</si>
  <si>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</si>
  <si>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</si>
  <si>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</si>
  <si>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</si>
  <si>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</si>
  <si>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</si>
  <si>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</si>
  <si>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</si>
  <si>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</si>
  <si>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</si>
  <si>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</si>
  <si>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</si>
  <si>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</si>
  <si>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</si>
  <si>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</si>
  <si>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</si>
  <si>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</si>
  <si>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</si>
  <si>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</si>
  <si>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</si>
  <si>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</si>
  <si>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</si>
  <si>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</si>
  <si>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</si>
  <si>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</si>
  <si>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</si>
  <si>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</si>
  <si>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</si>
  <si>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</si>
  <si>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</si>
  <si>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</si>
  <si>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</si>
  <si>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</si>
  <si>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</si>
  <si>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</si>
  <si>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</si>
  <si>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</si>
  <si>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</si>
  <si>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</si>
  <si>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</si>
  <si>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</si>
  <si>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</si>
  <si>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</si>
  <si>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</si>
  <si>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</si>
  <si>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</si>
  <si>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</si>
  <si>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</si>
  <si>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</si>
  <si>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</si>
  <si>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</si>
  <si>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</si>
  <si>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</si>
  <si>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</si>
  <si>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</si>
  <si>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</si>
  <si>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</si>
  <si>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</si>
  <si>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</si>
  <si>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</si>
  <si>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</si>
  <si>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</si>
  <si>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</si>
  <si>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</si>
  <si>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</si>
  <si>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</si>
  <si>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</si>
  <si>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</si>
  <si>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</si>
  <si>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</si>
  <si>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</si>
  <si>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</si>
  <si>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</si>
  <si>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</si>
  <si>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</si>
  <si>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</si>
  <si>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</si>
  <si>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</si>
  <si>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</si>
  <si>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</si>
  <si>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</si>
  <si>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</si>
  <si>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</si>
  <si>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</si>
  <si>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</si>
  <si>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</si>
  <si>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</si>
  <si>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</si>
  <si>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</si>
  <si>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</si>
  <si>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</si>
  <si>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</si>
  <si>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</si>
  <si>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</si>
  <si>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</si>
  <si>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</si>
  <si>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</si>
  <si>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</si>
  <si>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</si>
  <si>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</si>
  <si>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</si>
  <si>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</si>
  <si>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</si>
  <si>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</si>
  <si>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</si>
  <si>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</si>
  <si>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</si>
  <si>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</si>
  <si>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</si>
  <si>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</si>
  <si>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</si>
  <si>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</si>
  <si>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</si>
  <si>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</si>
  <si>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</si>
  <si>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</si>
  <si>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</si>
  <si>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</si>
  <si>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</si>
  <si>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</si>
  <si>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</si>
  <si>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</si>
  <si>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</si>
  <si>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</si>
  <si>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</si>
  <si>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</si>
  <si>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</si>
  <si>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</si>
  <si>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</si>
  <si>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</si>
  <si>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</si>
  <si>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</si>
  <si>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</si>
  <si>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</si>
  <si>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</si>
  <si>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</si>
  <si>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</si>
  <si>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</si>
  <si>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</si>
  <si>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</si>
  <si>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</si>
  <si>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</si>
  <si>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</si>
  <si>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</si>
  <si>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</si>
  <si>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</si>
  <si>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</si>
  <si>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</si>
  <si>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</si>
  <si>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</si>
  <si>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</si>
  <si>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</si>
  <si>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</si>
  <si>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</si>
  <si>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</si>
  <si>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</si>
  <si>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</si>
  <si>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</si>
  <si>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</si>
  <si>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</si>
  <si>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</si>
  <si>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</si>
  <si>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</si>
  <si>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</si>
  <si>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</si>
  <si>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</si>
  <si>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</si>
  <si>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</si>
  <si>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</si>
  <si>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</si>
  <si>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</si>
  <si>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</si>
  <si>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</si>
  <si>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</si>
  <si>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</si>
  <si>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</si>
  <si>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</si>
  <si>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</si>
  <si>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</si>
  <si>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</si>
  <si>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</si>
  <si>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</si>
  <si>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</si>
  <si>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</si>
  <si>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</si>
  <si>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</si>
  <si>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</si>
  <si>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</si>
  <si>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</si>
  <si>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</si>
  <si>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</si>
  <si>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</si>
  <si>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</si>
  <si>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</si>
  <si>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</si>
  <si>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</si>
  <si>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</si>
  <si>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</si>
  <si>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</si>
  <si>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</si>
  <si>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</si>
  <si>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</si>
  <si>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</si>
  <si>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</si>
  <si>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</si>
  <si>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</si>
  <si>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</si>
  <si>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</si>
  <si>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</si>
  <si>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</si>
  <si>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</si>
  <si>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</si>
  <si>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</si>
  <si>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</si>
  <si>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</si>
  <si>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</si>
  <si>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</si>
  <si>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</si>
  <si>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</si>
  <si>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</si>
  <si>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</si>
  <si>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</si>
  <si>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</si>
  <si>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</si>
  <si>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</si>
  <si>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</si>
  <si>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</si>
  <si>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</si>
  <si>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</si>
  <si>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Z1_OLBV_T3_s1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</si>
</sst>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9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175.68758102215617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</v>
      </c>
      <c r="H5" s="142">
        <f>CdTrp1!C215+CdTrp2!C215+CdTrp3!C215+CdTrp4!C215</f>
        <v>0</v>
      </c>
      <c r="I5" s="142">
        <f>CdTrp1!D215+CdTrp2!D215+CdTrp3!D215+CdTrp4!D215</f>
        <v>0</v>
      </c>
      <c r="J5" s="142">
        <f>CdTrp1!E215+CdTrp2!E215+CdTrp3!E215+CdTrp4!E215</f>
        <v>0</v>
      </c>
      <c r="K5" s="142">
        <f>CdTrp1!F215+CdTrp2!F215+CdTrp3!F215+CdTrp4!F215</f>
        <v>0</v>
      </c>
      <c r="L5" s="142">
        <f>CdTrp1!G215+CdTrp2!G215+CdTrp3!G215+CdTrp4!G215</f>
        <v>2.816595541565218</v>
      </c>
      <c r="M5" s="142">
        <f>CdTrp1!H215+CdTrp2!H215+CdTrp3!H215+CdTrp4!H215</f>
        <v>2.7122562782608712</v>
      </c>
      <c r="N5" s="142">
        <f>CdTrp1!I215+CdTrp2!I215+CdTrp3!I215+CdTrp4!I215</f>
        <v>2.6987749356521746</v>
      </c>
      <c r="O5" s="142">
        <f>CdTrp1!J215+CdTrp2!J215+CdTrp3!J215+CdTrp4!J215</f>
        <v>6.1334393527826094</v>
      </c>
      <c r="P5" s="142">
        <f>CdTrp1!K215+CdTrp2!K215+CdTrp3!K215+CdTrp4!K215</f>
        <v>6.2876954821739135</v>
      </c>
      <c r="Q5" s="142">
        <f>CdTrp1!L215+CdTrp2!L215+CdTrp3!L215+CdTrp4!L215</f>
        <v>3.3547090956521739</v>
      </c>
      <c r="R5" s="142">
        <f>CdTrp1!M215+CdTrp2!M215+CdTrp3!M215+CdTrp4!M215</f>
        <v>1.1265404347826089</v>
      </c>
      <c r="S5" s="142">
        <f>CdTrp1!N215+CdTrp2!N215+CdTrp3!N215+CdTrp4!N215</f>
        <v>1.1640917826086958</v>
      </c>
      <c r="T5" s="142">
        <f>CdTrp1!O215+CdTrp2!O215+CdTrp3!O215+CdTrp4!O215</f>
        <v>1.1640917826086958</v>
      </c>
      <c r="U5" s="142">
        <f>CdTrp1!P215+CdTrp2!P215+CdTrp3!P215+CdTrp4!P215</f>
        <v>1.1640917826086958</v>
      </c>
      <c r="V5" s="142">
        <f>CdTrp1!Q215+CdTrp2!Q215+CdTrp3!Q215+CdTrp4!Q215</f>
        <v>1.1640917826086958</v>
      </c>
      <c r="W5" s="142">
        <f>CdTrp1!R215+CdTrp2!R215+CdTrp3!R215+CdTrp4!R215</f>
        <v>1.1265404347826089</v>
      </c>
      <c r="X5" s="142">
        <f>CdTrp1!S215+CdTrp2!S215+CdTrp3!S215+CdTrp4!S215</f>
        <v>1.1265404347826089</v>
      </c>
      <c r="Y5" s="142">
        <f>CdTrp1!T215+CdTrp2!T215+CdTrp3!T215+CdTrp4!T215</f>
        <v>3.4974431707478271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</v>
      </c>
      <c r="AD5" s="142">
        <f>CdTrp1!Y215+CdTrp2!Y215+CdTrp3!Y215+CdTrp4!Y215</f>
        <v>0</v>
      </c>
      <c r="AE5" s="152"/>
      <c r="AF5" s="143">
        <f>AF8+AF9</f>
        <v>119.31184151648696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0.93215652173913055</v>
      </c>
      <c r="H6" s="142">
        <f>CdTrp1!C216+CdTrp2!C216+CdTrp3!C216+CdTrp4!C216</f>
        <v>0.93215652173913055</v>
      </c>
      <c r="I6" s="142">
        <f>CdTrp1!D216+CdTrp2!D216+CdTrp3!D216+CdTrp4!D216</f>
        <v>0.84194782608695662</v>
      </c>
      <c r="J6" s="142">
        <f>CdTrp1!E216+CdTrp2!E216+CdTrp3!E216+CdTrp4!E216</f>
        <v>0.84194782608695662</v>
      </c>
      <c r="K6" s="142">
        <f>CdTrp1!F216+CdTrp2!F216+CdTrp3!F216+CdTrp4!F216</f>
        <v>0.22371756521739136</v>
      </c>
      <c r="L6" s="142">
        <f>CdTrp1!G216+CdTrp2!G216+CdTrp3!G216+CdTrp4!G216</f>
        <v>0.22371756521739136</v>
      </c>
      <c r="M6" s="142">
        <f>CdTrp1!H216+CdTrp2!H216+CdTrp3!H216+CdTrp4!H216</f>
        <v>1.7234608695652174</v>
      </c>
      <c r="N6" s="142">
        <f>CdTrp1!I216+CdTrp2!I216+CdTrp3!I216+CdTrp4!I216</f>
        <v>1.7234608695652174</v>
      </c>
      <c r="O6" s="142">
        <f>CdTrp1!J216+CdTrp2!J216+CdTrp3!J216+CdTrp4!J216</f>
        <v>1.6690507826086953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1.5571919999999997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1.5571919999999997</v>
      </c>
      <c r="Z6" s="142">
        <f>CdTrp1!U216+CdTrp2!U216+CdTrp3!U216+CdTrp4!U216</f>
        <v>0.22371756521739136</v>
      </c>
      <c r="AA6" s="142">
        <f>CdTrp1!V216+CdTrp2!V216+CdTrp3!V216+CdTrp4!V216</f>
        <v>1.7234608695652174</v>
      </c>
      <c r="AB6" s="142">
        <f>CdTrp1!W216+CdTrp2!W216+CdTrp3!W216+CdTrp4!W216</f>
        <v>1.7234608695652174</v>
      </c>
      <c r="AC6" s="142">
        <f>CdTrp1!X216+CdTrp2!X216+CdTrp3!X216+CdTrp4!X216</f>
        <v>0.22371756521739136</v>
      </c>
      <c r="AD6" s="142">
        <f>CdTrp1!Y216+CdTrp2!Y216+CdTrp3!Y216+CdTrp4!Y216</f>
        <v>0.22371756521739136</v>
      </c>
      <c r="AE6" s="152"/>
      <c r="AF6" s="153"/>
    </row>
    <row r="7" spans="1:53" x14ac:dyDescent="0.25">
      <c r="B7" s="14" t="s">
        <v>294</v>
      </c>
      <c r="C7" s="143">
        <f>ROUNDUP(C4-C6-0.9*C5,1)</f>
        <v>175.7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0.70843895652173916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0.70843895652173916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2.265630956521739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0.70843895652173916</v>
      </c>
      <c r="AD7" s="142">
        <f>CdTrp1!Y217+CdTrp2!Y217+CdTrp3!Y217+CdTrp4!Y217</f>
        <v>0.70843895652173916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0.93215652173913055</v>
      </c>
      <c r="H8" s="142">
        <f t="shared" ref="H8:AD8" si="0">SUM(H5:H7)</f>
        <v>0.93215652173913055</v>
      </c>
      <c r="I8" s="142">
        <f t="shared" si="0"/>
        <v>0.84194782608695662</v>
      </c>
      <c r="J8" s="142">
        <f t="shared" si="0"/>
        <v>0.84194782608695662</v>
      </c>
      <c r="K8" s="142">
        <f t="shared" si="0"/>
        <v>0.93215652173913055</v>
      </c>
      <c r="L8" s="142">
        <f t="shared" si="0"/>
        <v>3.7487520633043485</v>
      </c>
      <c r="M8" s="142">
        <f t="shared" si="0"/>
        <v>5.1213032347826104</v>
      </c>
      <c r="N8" s="142">
        <f t="shared" si="0"/>
        <v>5.1078218921739138</v>
      </c>
      <c r="O8" s="142">
        <f t="shared" si="0"/>
        <v>8.5109290919130434</v>
      </c>
      <c r="P8" s="142">
        <f t="shared" si="0"/>
        <v>7.8448874821739132</v>
      </c>
      <c r="Q8" s="142">
        <f t="shared" si="0"/>
        <v>4.8616690956521733</v>
      </c>
      <c r="R8" s="142">
        <f t="shared" si="0"/>
        <v>2.6335004347826088</v>
      </c>
      <c r="S8" s="142">
        <f t="shared" si="0"/>
        <v>2.7212837826086957</v>
      </c>
      <c r="T8" s="142">
        <f t="shared" si="0"/>
        <v>2.7212837826086957</v>
      </c>
      <c r="U8" s="142">
        <f t="shared" si="0"/>
        <v>2.7212837826086957</v>
      </c>
      <c r="V8" s="142">
        <f t="shared" si="0"/>
        <v>2.7212837826086957</v>
      </c>
      <c r="W8" s="142">
        <f t="shared" si="0"/>
        <v>2.6335004347826088</v>
      </c>
      <c r="X8" s="142">
        <f t="shared" si="0"/>
        <v>2.6335004347826088</v>
      </c>
      <c r="Y8" s="142">
        <f t="shared" si="0"/>
        <v>5.0546351707478268</v>
      </c>
      <c r="Z8" s="142">
        <f t="shared" si="0"/>
        <v>7.1209130805217402</v>
      </c>
      <c r="AA8" s="142">
        <f t="shared" si="0"/>
        <v>4.164075756521739</v>
      </c>
      <c r="AB8" s="142">
        <f t="shared" si="0"/>
        <v>4.165717956521739</v>
      </c>
      <c r="AC8" s="142">
        <f t="shared" si="0"/>
        <v>0.93215652173913055</v>
      </c>
      <c r="AD8" s="142">
        <f t="shared" si="0"/>
        <v>0.93215652173913055</v>
      </c>
      <c r="AE8" s="152"/>
      <c r="AF8" s="143">
        <f>SUM(G8:AD8)</f>
        <v>80.831019519965224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56.5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21.5</v>
      </c>
      <c r="H18" s="157">
        <f>G18/G17</f>
        <v>0.38053097345132741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15.5</v>
      </c>
      <c r="H19" s="157">
        <f>G19/G17</f>
        <v>0.27433628318584069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8.5</v>
      </c>
      <c r="H20" s="157">
        <f>G20/G17</f>
        <v>0.15044247787610621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27" zoomScale="90" zoomScaleNormal="90" workbookViewId="0">
      <selection activeCell="O14" sqref="O14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5" t="s">
        <v>250</v>
      </c>
      <c r="AT2" s="295"/>
      <c r="AU2" s="294" t="s">
        <v>251</v>
      </c>
      <c r="AV2" s="294"/>
      <c r="AW2" s="294" t="s">
        <v>252</v>
      </c>
      <c r="AX2" s="294"/>
      <c r="AY2" s="294" t="s">
        <v>253</v>
      </c>
      <c r="AZ2" s="294"/>
      <c r="BA2" s="294" t="s">
        <v>254</v>
      </c>
      <c r="BB2" s="294"/>
      <c r="BC2" s="294" t="s">
        <v>255</v>
      </c>
      <c r="BD2" s="294"/>
      <c r="BE2" s="294" t="s">
        <v>256</v>
      </c>
      <c r="BF2" s="294"/>
      <c r="BG2" s="294" t="s">
        <v>257</v>
      </c>
      <c r="BH2" s="294"/>
      <c r="BI2" s="294" t="s">
        <v>258</v>
      </c>
      <c r="BJ2" s="294"/>
      <c r="BK2" s="294" t="s">
        <v>259</v>
      </c>
      <c r="BL2" s="294"/>
      <c r="BM2" s="294" t="s">
        <v>260</v>
      </c>
      <c r="BN2" s="294"/>
      <c r="BO2" s="294" t="s">
        <v>261</v>
      </c>
      <c r="BP2" s="294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0.84194782608695662</v>
      </c>
      <c r="AV5" s="13">
        <f>'Conduite Trp'!J8</f>
        <v>0.84194782608695662</v>
      </c>
      <c r="AW5" s="13">
        <f>'Conduite Trp'!K8</f>
        <v>0.93215652173913055</v>
      </c>
      <c r="AX5" s="13">
        <f>'Conduite Trp'!L8</f>
        <v>3.7487520633043485</v>
      </c>
      <c r="AY5" s="13">
        <f>'Conduite Trp'!M8</f>
        <v>5.1213032347826104</v>
      </c>
      <c r="AZ5" s="13">
        <f>'Conduite Trp'!N8</f>
        <v>5.1078218921739138</v>
      </c>
      <c r="BA5" s="13">
        <f>'Conduite Trp'!O8</f>
        <v>8.5109290919130434</v>
      </c>
      <c r="BB5" s="13">
        <f>'Conduite Trp'!P8</f>
        <v>7.8448874821739132</v>
      </c>
      <c r="BC5" s="13">
        <f>'Conduite Trp'!Q8</f>
        <v>4.8616690956521733</v>
      </c>
      <c r="BD5" s="13">
        <f>'Conduite Trp'!R8</f>
        <v>2.6335004347826088</v>
      </c>
      <c r="BE5" s="13">
        <f>'Conduite Trp'!S8</f>
        <v>2.7212837826086957</v>
      </c>
      <c r="BF5" s="13">
        <f>'Conduite Trp'!T8</f>
        <v>2.7212837826086957</v>
      </c>
      <c r="BG5" s="13">
        <f>'Conduite Trp'!U8</f>
        <v>2.7212837826086957</v>
      </c>
      <c r="BH5" s="13">
        <f>'Conduite Trp'!V8</f>
        <v>2.7212837826086957</v>
      </c>
      <c r="BI5" s="13">
        <f>'Conduite Trp'!W8</f>
        <v>2.6335004347826088</v>
      </c>
      <c r="BJ5" s="13">
        <f>'Conduite Trp'!X8</f>
        <v>2.6335004347826088</v>
      </c>
      <c r="BK5" s="13">
        <f>'Conduite Trp'!Y8</f>
        <v>5.0546351707478268</v>
      </c>
      <c r="BL5" s="13">
        <f>'Conduite Trp'!Z8</f>
        <v>7.1209130805217402</v>
      </c>
      <c r="BM5" s="13">
        <f>'Conduite Trp'!AA8</f>
        <v>4.164075756521739</v>
      </c>
      <c r="BN5" s="13">
        <f>'Conduite Trp'!AB8</f>
        <v>4.165717956521739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>
        <v>3.6</v>
      </c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11.879999999999999</v>
      </c>
      <c r="AF7" s="60">
        <f t="shared" ref="AF7:AF26" si="1">$R7*W7</f>
        <v>0</v>
      </c>
      <c r="AG7" s="60">
        <f t="shared" ref="AG7:AG26" si="2">$R7*X7</f>
        <v>5.4</v>
      </c>
      <c r="AH7" s="60">
        <f t="shared" ref="AH7:AH26" si="3">$R7*Y7</f>
        <v>3.6</v>
      </c>
      <c r="AI7" s="60">
        <f t="shared" ref="AI7:AI26" si="4">$R7*Z7</f>
        <v>2.52</v>
      </c>
      <c r="AJ7" s="60">
        <f t="shared" ref="AJ7:AJ26" si="5">$R7*AA7</f>
        <v>0</v>
      </c>
      <c r="AK7" s="140"/>
      <c r="AL7" s="60">
        <f t="shared" ref="AL7:AL26" si="6">R7*AC7</f>
        <v>9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5.1213032347826104</v>
      </c>
      <c r="AZ7" s="60">
        <f t="shared" si="7"/>
        <v>5.1078218921739138</v>
      </c>
      <c r="BA7" s="60">
        <f t="shared" si="7"/>
        <v>8.5109290919130434</v>
      </c>
      <c r="BB7" s="60">
        <f t="shared" si="7"/>
        <v>7.8448874821739132</v>
      </c>
      <c r="BC7" s="60">
        <f t="shared" si="7"/>
        <v>4.8616690956521733</v>
      </c>
      <c r="BD7" s="60">
        <f t="shared" si="7"/>
        <v>2.6335004347826088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34.080111231478263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>
        <v>1</v>
      </c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1</v>
      </c>
      <c r="AG8" s="60">
        <f t="shared" si="2"/>
        <v>1</v>
      </c>
      <c r="AH8" s="60">
        <f t="shared" si="3"/>
        <v>0.5</v>
      </c>
      <c r="AI8" s="60">
        <f t="shared" si="4"/>
        <v>0.7</v>
      </c>
      <c r="AJ8" s="60">
        <f t="shared" si="5"/>
        <v>0</v>
      </c>
      <c r="AK8" s="140"/>
      <c r="AL8" s="60">
        <f t="shared" si="6"/>
        <v>6.3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2.7212837826086957</v>
      </c>
      <c r="BF8" s="60">
        <f t="shared" si="8"/>
        <v>2.7212837826086957</v>
      </c>
      <c r="BG8" s="60">
        <f t="shared" si="8"/>
        <v>2.7212837826086957</v>
      </c>
      <c r="BH8" s="60">
        <f t="shared" si="8"/>
        <v>2.7212837826086957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10.885135130434783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2.6335004347826088</v>
      </c>
      <c r="BJ9" s="60">
        <f t="shared" si="10"/>
        <v>2.6335004347826088</v>
      </c>
      <c r="BK9" s="60">
        <f t="shared" si="10"/>
        <v>5.0546351707478268</v>
      </c>
      <c r="BL9" s="60">
        <f t="shared" si="10"/>
        <v>7.1209130805217402</v>
      </c>
      <c r="BM9" s="60">
        <f t="shared" si="10"/>
        <v>4.164075756521739</v>
      </c>
      <c r="BN9" s="60">
        <f t="shared" si="10"/>
        <v>4.165717956521739</v>
      </c>
      <c r="BO9" s="60">
        <f t="shared" si="10"/>
        <v>0</v>
      </c>
      <c r="BP9" s="60">
        <f t="shared" si="10"/>
        <v>0</v>
      </c>
      <c r="BR9" s="60">
        <f t="shared" si="9"/>
        <v>25.772342833878263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3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6</v>
      </c>
      <c r="AF10" s="60">
        <f t="shared" si="1"/>
        <v>0</v>
      </c>
      <c r="AG10" s="60">
        <f t="shared" si="2"/>
        <v>3.75</v>
      </c>
      <c r="AH10" s="60">
        <f t="shared" si="3"/>
        <v>3.75</v>
      </c>
      <c r="AI10" s="60">
        <f t="shared" si="4"/>
        <v>3.75</v>
      </c>
      <c r="AJ10" s="60">
        <f t="shared" si="5"/>
        <v>0</v>
      </c>
      <c r="AK10" s="140"/>
      <c r="AL10" s="60">
        <f t="shared" si="6"/>
        <v>7.5</v>
      </c>
      <c r="AQ10" s="32"/>
      <c r="AR10" s="69">
        <v>4</v>
      </c>
      <c r="AS10" s="60">
        <f>IF(AS$4=4,AS$5,0)</f>
        <v>0.93215652173913055</v>
      </c>
      <c r="AT10" s="60">
        <f t="shared" ref="AT10:BP10" si="11">IF(AT$4=4,AT$5,0)</f>
        <v>0.93215652173913055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0.93215652173913055</v>
      </c>
      <c r="BP10" s="60">
        <f t="shared" si="11"/>
        <v>0.93215652173913055</v>
      </c>
      <c r="BR10" s="60">
        <f t="shared" si="9"/>
        <v>3.7286260869565222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/>
      <c r="R11" s="39"/>
      <c r="S11" s="287" t="e">
        <f>VLOOKUP($Q11,[1]MEP!$A$5:$D$300,3)</f>
        <v>#N/A</v>
      </c>
      <c r="T11" s="75" t="e">
        <f>VLOOKUP($Q11,[1]MEP!$A$5:$D$300,4)</f>
        <v>#N/A</v>
      </c>
      <c r="U11" s="75">
        <f>VLOOKUP($Q11,[1]MEP!$A$4:$K$300,2)</f>
        <v>0</v>
      </c>
      <c r="V11" s="75">
        <f>VLOOKUP($Q11,[1]MEP!$A$4:$K$300,5)</f>
        <v>0</v>
      </c>
      <c r="W11" s="75">
        <f>VLOOKUP($Q11,[1]MEP!$A$4:$K$300,6)</f>
        <v>0</v>
      </c>
      <c r="X11" s="75">
        <f>VLOOKUP($Q11,[1]MEP!$A$4:$K$300,7)</f>
        <v>0</v>
      </c>
      <c r="Y11" s="75">
        <f>VLOOKUP($Q11,[1]MEP!$A$4:$K$300,8)</f>
        <v>0</v>
      </c>
      <c r="Z11" s="75">
        <f>VLOOKUP($Q11,[1]MEP!$A$4:$K$300,9)</f>
        <v>0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0</v>
      </c>
      <c r="AF11" s="60">
        <f t="shared" si="1"/>
        <v>0</v>
      </c>
      <c r="AG11" s="60">
        <f t="shared" si="2"/>
        <v>0</v>
      </c>
      <c r="AH11" s="60">
        <f t="shared" si="3"/>
        <v>0</v>
      </c>
      <c r="AI11" s="60">
        <f t="shared" si="4"/>
        <v>0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0.84194782608695662</v>
      </c>
      <c r="AV11" s="60">
        <f t="shared" si="12"/>
        <v>0.84194782608695662</v>
      </c>
      <c r="AW11" s="60">
        <f t="shared" si="12"/>
        <v>0.93215652173913055</v>
      </c>
      <c r="AX11" s="60">
        <f t="shared" si="12"/>
        <v>3.7487520633043485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6.3648042372173919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2.816595541565218</v>
      </c>
      <c r="AY15" s="13">
        <f>'Conduite Trp'!M5</f>
        <v>2.7122562782608712</v>
      </c>
      <c r="AZ15" s="13">
        <f>'Conduite Trp'!N5</f>
        <v>2.6987749356521746</v>
      </c>
      <c r="BA15" s="13">
        <f>'Conduite Trp'!O5</f>
        <v>6.1334393527826094</v>
      </c>
      <c r="BB15" s="13">
        <f>'Conduite Trp'!P5</f>
        <v>6.2876954821739135</v>
      </c>
      <c r="BC15" s="13">
        <f>'Conduite Trp'!Q5</f>
        <v>3.3547090956521739</v>
      </c>
      <c r="BD15" s="13">
        <f>'Conduite Trp'!R5</f>
        <v>1.1265404347826089</v>
      </c>
      <c r="BE15" s="13">
        <f>'Conduite Trp'!S5</f>
        <v>1.1640917826086958</v>
      </c>
      <c r="BF15" s="13">
        <f>'Conduite Trp'!T5</f>
        <v>1.1640917826086958</v>
      </c>
      <c r="BG15" s="13">
        <f>'Conduite Trp'!U5</f>
        <v>1.1640917826086958</v>
      </c>
      <c r="BH15" s="13">
        <f>'Conduite Trp'!V5</f>
        <v>1.1640917826086958</v>
      </c>
      <c r="BI15" s="13">
        <f>'Conduite Trp'!W5</f>
        <v>1.1265404347826089</v>
      </c>
      <c r="BJ15" s="13">
        <f>'Conduite Trp'!X5</f>
        <v>1.1265404347826089</v>
      </c>
      <c r="BK15" s="13">
        <f>'Conduite Trp'!Y5</f>
        <v>3.4974431707478271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</v>
      </c>
      <c r="BP15" s="13">
        <f>'Conduite Trp'!AD5</f>
        <v>0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0.22371756521739136</v>
      </c>
      <c r="AX16" s="13">
        <f>'Conduite Trp'!L6</f>
        <v>0.22371756521739136</v>
      </c>
      <c r="AY16" s="13">
        <f>'Conduite Trp'!M6</f>
        <v>1.7234608695652174</v>
      </c>
      <c r="AZ16" s="13">
        <f>'Conduite Trp'!N6</f>
        <v>1.7234608695652174</v>
      </c>
      <c r="BA16" s="13">
        <f>'Conduite Trp'!O6</f>
        <v>1.6690507826086953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1.5571919999999997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1.5571919999999997</v>
      </c>
      <c r="BL16" s="13">
        <f>'Conduite Trp'!Z6</f>
        <v>0.22371756521739136</v>
      </c>
      <c r="BM16" s="13">
        <f>'Conduite Trp'!AA6</f>
        <v>1.7234608695652174</v>
      </c>
      <c r="BN16" s="13">
        <f>'Conduite Trp'!AB6</f>
        <v>1.7234608695652174</v>
      </c>
      <c r="BO16" s="13">
        <f>'Conduite Trp'!AC6</f>
        <v>0.22371756521739136</v>
      </c>
      <c r="BP16" s="13">
        <f>'Conduite Trp'!AD6</f>
        <v>0.22371756521739136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2.265630956521739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0.70843895652173916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2.7122562782608712</v>
      </c>
      <c r="AZ19" s="60">
        <f t="shared" si="15"/>
        <v>2.6987749356521746</v>
      </c>
      <c r="BA19" s="60">
        <f t="shared" si="15"/>
        <v>6.1334393527826094</v>
      </c>
      <c r="BB19" s="60">
        <f t="shared" si="15"/>
        <v>6.2876954821739135</v>
      </c>
      <c r="BC19" s="60">
        <f t="shared" si="15"/>
        <v>3.3547090956521739</v>
      </c>
      <c r="BD19" s="60">
        <f t="shared" si="15"/>
        <v>1.1265404347826089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22.313415579304351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1.1640917826086958</v>
      </c>
      <c r="BF20" s="60">
        <f t="shared" si="16"/>
        <v>1.1640917826086958</v>
      </c>
      <c r="BG20" s="60">
        <f t="shared" si="16"/>
        <v>1.1640917826086958</v>
      </c>
      <c r="BH20" s="60">
        <f t="shared" si="16"/>
        <v>1.1640917826086958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4.6563671304347833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1.1265404347826089</v>
      </c>
      <c r="BJ21" s="60">
        <f t="shared" si="18"/>
        <v>1.1265404347826089</v>
      </c>
      <c r="BK21" s="60">
        <f t="shared" si="18"/>
        <v>3.4974431707478271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13.893788399095655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</v>
      </c>
      <c r="AT22" s="60">
        <f t="shared" ref="AT22:BP22" si="19">IF(AT$4=4,AT$15,0)</f>
        <v>0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</v>
      </c>
      <c r="BP22" s="60">
        <f t="shared" si="19"/>
        <v>0</v>
      </c>
      <c r="BR22" s="60">
        <f t="shared" si="17"/>
        <v>0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</v>
      </c>
      <c r="AV23" s="60">
        <f t="shared" si="20"/>
        <v>0</v>
      </c>
      <c r="AW23" s="60">
        <f t="shared" si="20"/>
        <v>0</v>
      </c>
      <c r="AX23" s="60">
        <f t="shared" si="20"/>
        <v>2.816595541565218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2.816595541565218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36.339999999999996</v>
      </c>
      <c r="E24" s="60">
        <f t="shared" si="21"/>
        <v>13.575000000000001</v>
      </c>
      <c r="F24" s="60">
        <f t="shared" si="21"/>
        <v>29.758716</v>
      </c>
      <c r="G24" s="60">
        <f t="shared" si="21"/>
        <v>16.414179000000001</v>
      </c>
      <c r="H24" s="60">
        <f t="shared" si="21"/>
        <v>20.322895000000003</v>
      </c>
      <c r="I24" s="60">
        <f t="shared" si="21"/>
        <v>0</v>
      </c>
      <c r="J24" s="62"/>
      <c r="K24" s="60">
        <f>AL27+AL49+AL71</f>
        <v>105.83154999999999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34.080111231478263</v>
      </c>
      <c r="E25" s="60">
        <f>BR8</f>
        <v>10.885135130434783</v>
      </c>
      <c r="F25" s="60">
        <f>BR9</f>
        <v>25.772342833878263</v>
      </c>
      <c r="G25" s="60">
        <f>BR10</f>
        <v>3.7286260869565222</v>
      </c>
      <c r="H25" s="60">
        <f>BR11</f>
        <v>6.3648042372173919</v>
      </c>
      <c r="I25" s="60">
        <f>BR12</f>
        <v>0</v>
      </c>
      <c r="J25" s="62"/>
      <c r="K25" s="75">
        <f>'Conduite Trp'!C7</f>
        <v>175.7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2.2598887685217335</v>
      </c>
      <c r="E27" s="92">
        <f t="shared" si="23"/>
        <v>2.6898648695652181</v>
      </c>
      <c r="F27" s="92">
        <f t="shared" si="23"/>
        <v>3.9863731661217372</v>
      </c>
      <c r="G27" s="92">
        <f t="shared" si="23"/>
        <v>12.685552913043479</v>
      </c>
      <c r="H27" s="92">
        <f t="shared" si="23"/>
        <v>13.958090762782611</v>
      </c>
      <c r="I27" s="92">
        <f t="shared" si="23"/>
        <v>0</v>
      </c>
      <c r="J27" s="62"/>
      <c r="K27" s="92">
        <f>K24-K25</f>
        <v>-69.868449999999996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24.18</v>
      </c>
      <c r="AF27" s="74">
        <f t="shared" ref="AF27:AJ27" si="24">SUM(AF7:AF26)</f>
        <v>5.2</v>
      </c>
      <c r="AG27" s="74">
        <f t="shared" si="24"/>
        <v>16.45</v>
      </c>
      <c r="AH27" s="74">
        <f t="shared" si="24"/>
        <v>9.6</v>
      </c>
      <c r="AI27" s="74">
        <f t="shared" si="24"/>
        <v>9.42</v>
      </c>
      <c r="AJ27" s="74">
        <f t="shared" si="24"/>
        <v>0</v>
      </c>
      <c r="AK27"/>
      <c r="AL27" s="74">
        <f>SUM(AL7:AL26)</f>
        <v>36.1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1.7234608695652174</v>
      </c>
      <c r="AZ27" s="60">
        <f t="shared" si="25"/>
        <v>1.7234608695652174</v>
      </c>
      <c r="BA27" s="60">
        <f t="shared" si="25"/>
        <v>1.6690507826086953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8.12989252173913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1.5571919999999997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1.5571919999999997</v>
      </c>
      <c r="BL29" s="60">
        <f t="shared" si="35"/>
        <v>0.22371756521739136</v>
      </c>
      <c r="BM29" s="60">
        <f t="shared" si="35"/>
        <v>1.7234608695652174</v>
      </c>
      <c r="BN29" s="60">
        <f t="shared" si="35"/>
        <v>1.7234608695652174</v>
      </c>
      <c r="BO29" s="60">
        <f t="shared" si="35"/>
        <v>0</v>
      </c>
      <c r="BP29" s="60">
        <f t="shared" si="35"/>
        <v>0</v>
      </c>
      <c r="BR29" s="60">
        <f t="shared" si="27"/>
        <v>8.2417513043478259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4.2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6.3000000000000007</v>
      </c>
      <c r="AF30" s="60">
        <f t="shared" si="29"/>
        <v>0</v>
      </c>
      <c r="AG30" s="60">
        <f t="shared" si="30"/>
        <v>3.3600000000000003</v>
      </c>
      <c r="AH30" s="60">
        <f t="shared" si="31"/>
        <v>2.1</v>
      </c>
      <c r="AI30" s="60">
        <f t="shared" si="32"/>
        <v>2.94</v>
      </c>
      <c r="AJ30" s="60">
        <f t="shared" si="33"/>
        <v>0</v>
      </c>
      <c r="AK30"/>
      <c r="AL30" s="60">
        <f t="shared" si="34"/>
        <v>26.46</v>
      </c>
      <c r="AR30" s="69">
        <v>4</v>
      </c>
      <c r="AS30" s="60">
        <f>IF(AS$4=4,AS$16,0)</f>
        <v>0.93215652173913055</v>
      </c>
      <c r="AT30" s="60">
        <f t="shared" ref="AT30:BP30" si="36">IF(AT$4=4,AT$16,0)</f>
        <v>0.93215652173913055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0.22371756521739136</v>
      </c>
      <c r="BP30" s="60">
        <f t="shared" si="36"/>
        <v>0.22371756521739136</v>
      </c>
      <c r="BR30" s="60">
        <f t="shared" si="27"/>
        <v>2.3117481739130437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0.7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2.3099999999999996</v>
      </c>
      <c r="AF31" s="60">
        <f t="shared" si="29"/>
        <v>2.0999999999999996</v>
      </c>
      <c r="AG31" s="60">
        <f t="shared" si="30"/>
        <v>1.6099999999999999</v>
      </c>
      <c r="AH31" s="60">
        <f t="shared" si="31"/>
        <v>0.35</v>
      </c>
      <c r="AI31" s="60">
        <f t="shared" si="32"/>
        <v>0.48999999999999994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0.84194782608695662</v>
      </c>
      <c r="AV31" s="60">
        <f t="shared" si="37"/>
        <v>0.84194782608695662</v>
      </c>
      <c r="AW31" s="60">
        <f t="shared" si="37"/>
        <v>0.22371756521739136</v>
      </c>
      <c r="AX31" s="60">
        <f t="shared" si="37"/>
        <v>0.22371756521739136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2.1313307826086958</v>
      </c>
    </row>
    <row r="32" spans="2:72" x14ac:dyDescent="0.25">
      <c r="D32" s="67" t="s">
        <v>267</v>
      </c>
      <c r="E32" s="67" t="s">
        <v>18</v>
      </c>
      <c r="F32" s="294" t="s">
        <v>276</v>
      </c>
      <c r="G32" s="294"/>
      <c r="H32" s="81"/>
      <c r="I32" s="67" t="s">
        <v>280</v>
      </c>
      <c r="J32" s="81" t="s">
        <v>280</v>
      </c>
      <c r="K32" s="294" t="s">
        <v>278</v>
      </c>
      <c r="L32" s="294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0.70843895652173916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2.265630956521739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3.6368031304347825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0.70843895652173916</v>
      </c>
      <c r="BP38" s="60">
        <f t="shared" si="47"/>
        <v>0.70843895652173916</v>
      </c>
      <c r="BR38" s="60">
        <f t="shared" si="45"/>
        <v>1.4168779130434783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0.70843895652173916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1.4168779130434783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8.61</v>
      </c>
      <c r="AF49" s="74">
        <f t="shared" ref="AF49" si="50">SUM(AF29:AF48)</f>
        <v>4.0999999999999996</v>
      </c>
      <c r="AG49" s="74">
        <f t="shared" ref="AG49" si="51">SUM(AG29:AG48)</f>
        <v>10.178716000000001</v>
      </c>
      <c r="AH49" s="74">
        <f t="shared" ref="AH49" si="52">SUM(AH29:AH48)</f>
        <v>4.2521789999999999</v>
      </c>
      <c r="AI49" s="74">
        <f t="shared" ref="AI49" si="53">SUM(AI29:AI48)</f>
        <v>8.8408950000000015</v>
      </c>
      <c r="AJ49" s="74">
        <f t="shared" ref="AJ49" si="54">SUM(AJ29:AJ48)</f>
        <v>0</v>
      </c>
      <c r="AK49"/>
      <c r="AL49" s="74">
        <f>SUM(AL29:AL48)</f>
        <v>69.731549999999999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24.18</v>
      </c>
      <c r="E72" s="60">
        <f t="shared" ref="E72:H72" si="69">AF27</f>
        <v>5.2</v>
      </c>
      <c r="F72" s="60">
        <f t="shared" si="69"/>
        <v>16.45</v>
      </c>
      <c r="G72" s="60">
        <f t="shared" si="69"/>
        <v>9.6</v>
      </c>
      <c r="H72" s="60">
        <f t="shared" si="69"/>
        <v>9.42</v>
      </c>
      <c r="I72" s="60">
        <f t="shared" ref="I72" si="70">AJ75+AJ97+AJ119</f>
        <v>0</v>
      </c>
      <c r="J72" s="62"/>
      <c r="K72" s="60">
        <f>+K24</f>
        <v>105.83154999999999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22.313415579304351</v>
      </c>
      <c r="E73" s="60">
        <f>BR20</f>
        <v>4.6563671304347833</v>
      </c>
      <c r="F73" s="60">
        <f>BR21</f>
        <v>13.893788399095655</v>
      </c>
      <c r="G73" s="60">
        <f>BR22</f>
        <v>0</v>
      </c>
      <c r="H73" s="60">
        <f>BR23</f>
        <v>2.816595541565218</v>
      </c>
      <c r="I73" s="60">
        <f>BR60</f>
        <v>0</v>
      </c>
      <c r="J73" s="62"/>
      <c r="K73" s="75">
        <f>+K25</f>
        <v>175.7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1.8665844206956486</v>
      </c>
      <c r="E75" s="92">
        <f t="shared" ref="E75:I75" si="71">E72-E73</f>
        <v>0.54363286956521684</v>
      </c>
      <c r="F75" s="92">
        <f t="shared" si="71"/>
        <v>2.5562116009043443</v>
      </c>
      <c r="G75" s="92">
        <f t="shared" si="71"/>
        <v>9.6</v>
      </c>
      <c r="H75" s="92">
        <f t="shared" si="71"/>
        <v>6.603404458434782</v>
      </c>
      <c r="I75" s="92">
        <f t="shared" si="71"/>
        <v>0</v>
      </c>
      <c r="J75" s="62"/>
      <c r="K75" s="92">
        <f>+K27</f>
        <v>-69.868449999999996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8.61</v>
      </c>
      <c r="E82" s="60">
        <f t="shared" ref="E82:H82" si="72">AF49</f>
        <v>4.0999999999999996</v>
      </c>
      <c r="F82" s="60">
        <f t="shared" si="72"/>
        <v>10.178716000000001</v>
      </c>
      <c r="G82" s="60">
        <f t="shared" si="72"/>
        <v>4.2521789999999999</v>
      </c>
      <c r="H82" s="60">
        <f t="shared" si="72"/>
        <v>8.8408950000000015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8.12989252173913</v>
      </c>
      <c r="E83" s="60">
        <f>BR28</f>
        <v>3.1143839999999994</v>
      </c>
      <c r="F83" s="60">
        <f>BR29</f>
        <v>8.2417513043478259</v>
      </c>
      <c r="G83" s="60">
        <f>BR30</f>
        <v>2.3117481739130437</v>
      </c>
      <c r="H83" s="60">
        <f>BR31</f>
        <v>2.1313307826086958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0.48010747826086941</v>
      </c>
      <c r="E85" s="92">
        <f t="shared" ref="E85:H85" si="73">E82-E83</f>
        <v>0.98561600000000027</v>
      </c>
      <c r="F85" s="92">
        <f t="shared" si="73"/>
        <v>1.9369646956521755</v>
      </c>
      <c r="G85" s="92">
        <f t="shared" si="73"/>
        <v>1.9404308260869563</v>
      </c>
      <c r="H85" s="92">
        <f t="shared" si="73"/>
        <v>6.7095642173913053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3.6368031304347825</v>
      </c>
      <c r="G93" s="60">
        <f>BR38</f>
        <v>1.4168779130434783</v>
      </c>
      <c r="H93" s="60">
        <f>BR39</f>
        <v>1.4168779130434783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-0.50680313043478264</v>
      </c>
      <c r="G95" s="92">
        <f t="shared" si="75"/>
        <v>1.1451220869565215</v>
      </c>
      <c r="H95" s="92">
        <f t="shared" si="75"/>
        <v>0.64512208695652151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tabSelected="1" topLeftCell="D1"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1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2.4</v>
      </c>
      <c r="L2" s="8">
        <f t="shared" ref="L2:L33" si="0">IF(J2=$Y$5,K2*$AA$5,IF(J2=$Y$6,K2*$AA$6,IF(J2=$Y$7,K2*$AA$7,"")))</f>
        <v>2.88</v>
      </c>
      <c r="M2" s="10">
        <f>IF(I2=$Y$10,SQRT(L2*10000),SQRT(Parcellaire!L2*10000)/$AC$11)</f>
        <v>120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540</v>
      </c>
      <c r="U2" s="10">
        <f t="shared" ref="U2:U36" si="5">IF(C2=2,Q2*M2,0)</f>
        <v>360</v>
      </c>
      <c r="V2" s="27">
        <f t="shared" ref="V2:V36" si="6">O2*M2</f>
        <v>720</v>
      </c>
      <c r="W2" s="3"/>
      <c r="X2" s="3"/>
    </row>
    <row r="3" spans="1:29" ht="15" customHeight="1" x14ac:dyDescent="0.25">
      <c r="A3" s="8">
        <v>3</v>
      </c>
      <c r="B3" s="9">
        <v>1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1.8</v>
      </c>
      <c r="L3" s="8">
        <f t="shared" ref="L3:L24" si="8">IF(J3=$Y$5,K3*$AA$5,IF(J3=$Y$6,K3*$AA$6,IF(J3=$Y$7,K3*$AA$7,"")))</f>
        <v>2.16</v>
      </c>
      <c r="M3" s="10">
        <f>IF(I3=$Y$10,SQRT(L3*10000),SQRT(Parcellaire!L3*10000)/$AC$11)</f>
        <v>103.92304845413264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467.65371804359688</v>
      </c>
      <c r="U3" s="10">
        <f>IF(C3=2,Q3*M3,0)</f>
        <v>311.76914536239792</v>
      </c>
      <c r="V3" s="27">
        <f t="shared" si="6"/>
        <v>623.53829072479584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1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5.3900000000000006</v>
      </c>
      <c r="L5" s="8">
        <f t="shared" si="8"/>
        <v>5.3900000000000006</v>
      </c>
      <c r="M5" s="10">
        <f>IF(I5=$Y$10,SQRT(L5*10000),SQRT(Parcellaire!L5*10000)/$AC$11)</f>
        <v>164.16455159382005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738.74048217219024</v>
      </c>
      <c r="U5" s="10">
        <f t="shared" si="5"/>
        <v>492.49365478146012</v>
      </c>
      <c r="V5" s="27">
        <f t="shared" si="6"/>
        <v>984.98730956292025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1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IF(I6=$Y$10,SQRT(L6*10000),SQRT(Parcellaire!L6*10000)/$AC$11)</f>
        <v>104.88088481701514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1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0.77</v>
      </c>
      <c r="L16" s="8">
        <f t="shared" si="8"/>
        <v>0.92399999999999993</v>
      </c>
      <c r="M16" s="10">
        <f>IF(I16=$Y$10,SQRT(L16*10000),SQRT(Parcellaire!L16*10000)/$AC$11)</f>
        <v>67.970581871865704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305.8676184233957</v>
      </c>
      <c r="U16" s="10">
        <f t="shared" si="5"/>
        <v>203.91174561559711</v>
      </c>
      <c r="V16" s="27">
        <f t="shared" si="6"/>
        <v>407.82349123119423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7859.7704172467811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7859.7704172467811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35</v>
      </c>
      <c r="H63" s="169"/>
      <c r="I63" s="169">
        <f>SUMIF(Parcellaire!$B$2:$B$62,1,Parcellaire!I2:I62)</f>
        <v>43</v>
      </c>
      <c r="J63" s="169">
        <f>SUMIF(Parcellaire!$B$2:$B$62,1,Parcellaire!J2:J62)</f>
        <v>11</v>
      </c>
      <c r="K63" s="169">
        <f>SUMIF(Parcellaire!$B$2:$B$62,1,Parcellaire!K2:K62)</f>
        <v>37.229999999999997</v>
      </c>
      <c r="L63" s="169">
        <f>SUMIF(Parcellaire!$B$2:$B$62,1,Parcellaire!L2:L62)</f>
        <v>41.646000000000001</v>
      </c>
      <c r="M63" s="169">
        <f>SUMIF(Parcellaire!$B$2:$B$62,1,Parcellaire!M2:M62)</f>
        <v>1674.4584125576514</v>
      </c>
      <c r="N63" s="169">
        <f>SUMIF(Parcellaire!$B$2:$B$62,1,Parcellaire!N2:N62)</f>
        <v>102</v>
      </c>
      <c r="O63" s="169">
        <f>SUMIF(Parcellaire!$B$2:$B$62,1,Parcellaire!O2:O62)</f>
        <v>90</v>
      </c>
      <c r="P63" s="169">
        <f>SUMIF(Parcellaire!$B$2:$B$62,1,Parcellaire!P2:P62)</f>
        <v>0</v>
      </c>
      <c r="Q63" s="169">
        <f>SUMIF(Parcellaire!$B$2:$B$62,1,Parcellaire!Q2:Q62)</f>
        <v>42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7859.7704172467811</v>
      </c>
      <c r="U63" s="169">
        <f>SUMIF(Parcellaire!$B$2:$B$62,1,Parcellaire!U2:U62)</f>
        <v>4373.9601161982528</v>
      </c>
      <c r="V63" s="169">
        <f>SUMIF(Parcellaire!$B$2:$B$62,1,Parcellaire!V2:V62)</f>
        <v>10046.750475345907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4" t="s">
        <v>2</v>
      </c>
      <c r="C64" s="294"/>
      <c r="D64" s="294" t="s">
        <v>0</v>
      </c>
      <c r="E64" s="294"/>
      <c r="F64" s="294" t="s">
        <v>1</v>
      </c>
      <c r="G64" s="294"/>
      <c r="H64" s="294" t="s">
        <v>3</v>
      </c>
      <c r="I64" s="294"/>
      <c r="J64" s="294" t="s">
        <v>4</v>
      </c>
      <c r="K64" s="294"/>
      <c r="L64" s="294" t="s">
        <v>5</v>
      </c>
      <c r="M64" s="294"/>
      <c r="N64" s="294" t="s">
        <v>6</v>
      </c>
      <c r="O64" s="294"/>
      <c r="P64" s="294" t="s">
        <v>7</v>
      </c>
      <c r="Q64" s="294"/>
      <c r="R64" s="294" t="s">
        <v>8</v>
      </c>
      <c r="S64" s="294"/>
      <c r="T64" s="294" t="s">
        <v>9</v>
      </c>
      <c r="U64" s="294"/>
      <c r="V64" s="294" t="s">
        <v>10</v>
      </c>
      <c r="W64" s="294"/>
      <c r="X64" s="294" t="s">
        <v>11</v>
      </c>
      <c r="Y64" s="294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4" t="s">
        <v>2</v>
      </c>
      <c r="C90" s="294"/>
      <c r="D90" s="294" t="s">
        <v>0</v>
      </c>
      <c r="E90" s="294"/>
      <c r="F90" s="294" t="s">
        <v>1</v>
      </c>
      <c r="G90" s="294"/>
      <c r="H90" s="294" t="s">
        <v>3</v>
      </c>
      <c r="I90" s="294"/>
      <c r="J90" s="294" t="s">
        <v>4</v>
      </c>
      <c r="K90" s="294"/>
      <c r="L90" s="294" t="s">
        <v>5</v>
      </c>
      <c r="M90" s="294"/>
      <c r="N90" s="294" t="s">
        <v>6</v>
      </c>
      <c r="O90" s="294"/>
      <c r="P90" s="294" t="s">
        <v>7</v>
      </c>
      <c r="Q90" s="294"/>
      <c r="R90" s="294" t="s">
        <v>8</v>
      </c>
      <c r="S90" s="294"/>
      <c r="T90" s="294" t="s">
        <v>9</v>
      </c>
      <c r="U90" s="294"/>
      <c r="V90" s="294" t="s">
        <v>10</v>
      </c>
      <c r="W90" s="294"/>
      <c r="X90" s="294" t="s">
        <v>11</v>
      </c>
      <c r="Y90" s="294"/>
      <c r="AC90" t="s">
        <v>429</v>
      </c>
      <c r="AD90" s="294" t="s">
        <v>2</v>
      </c>
      <c r="AE90" s="294"/>
      <c r="AF90" s="294" t="s">
        <v>0</v>
      </c>
      <c r="AG90" s="294"/>
      <c r="AH90" s="294" t="s">
        <v>1</v>
      </c>
      <c r="AI90" s="294"/>
      <c r="AJ90" s="294" t="s">
        <v>3</v>
      </c>
      <c r="AK90" s="294"/>
      <c r="AL90" s="294" t="s">
        <v>4</v>
      </c>
      <c r="AM90" s="294"/>
      <c r="AN90" s="294" t="s">
        <v>5</v>
      </c>
      <c r="AO90" s="294"/>
      <c r="AP90" s="294" t="s">
        <v>6</v>
      </c>
      <c r="AQ90" s="294"/>
      <c r="AR90" s="294" t="s">
        <v>7</v>
      </c>
      <c r="AS90" s="294"/>
      <c r="AT90" s="294" t="s">
        <v>8</v>
      </c>
      <c r="AU90" s="294"/>
      <c r="AV90" s="294" t="s">
        <v>9</v>
      </c>
      <c r="AW90" s="294"/>
      <c r="AX90" s="294" t="s">
        <v>10</v>
      </c>
      <c r="AY90" s="294"/>
      <c r="AZ90" s="294" t="s">
        <v>11</v>
      </c>
      <c r="BA90" s="294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4" t="s">
        <v>2</v>
      </c>
      <c r="C117" s="294"/>
      <c r="D117" s="294" t="s">
        <v>0</v>
      </c>
      <c r="E117" s="294"/>
      <c r="F117" s="294" t="s">
        <v>1</v>
      </c>
      <c r="G117" s="294"/>
      <c r="H117" s="294" t="s">
        <v>3</v>
      </c>
      <c r="I117" s="294"/>
      <c r="J117" s="294" t="s">
        <v>4</v>
      </c>
      <c r="K117" s="294"/>
      <c r="L117" s="294" t="s">
        <v>5</v>
      </c>
      <c r="M117" s="294"/>
      <c r="N117" s="294" t="s">
        <v>6</v>
      </c>
      <c r="O117" s="294"/>
      <c r="P117" s="294" t="s">
        <v>7</v>
      </c>
      <c r="Q117" s="294"/>
      <c r="R117" s="294" t="s">
        <v>8</v>
      </c>
      <c r="S117" s="294"/>
      <c r="T117" s="294" t="s">
        <v>9</v>
      </c>
      <c r="U117" s="294"/>
      <c r="V117" s="294" t="s">
        <v>10</v>
      </c>
      <c r="W117" s="294"/>
      <c r="X117" s="294" t="s">
        <v>11</v>
      </c>
      <c r="Y117" s="294"/>
      <c r="AD117" s="294" t="s">
        <v>2</v>
      </c>
      <c r="AE117" s="294"/>
      <c r="AF117" s="294" t="s">
        <v>0</v>
      </c>
      <c r="AG117" s="294"/>
      <c r="AH117" s="294" t="s">
        <v>1</v>
      </c>
      <c r="AI117" s="294"/>
      <c r="AJ117" s="294" t="s">
        <v>3</v>
      </c>
      <c r="AK117" s="294"/>
      <c r="AL117" s="294" t="s">
        <v>4</v>
      </c>
      <c r="AM117" s="294"/>
      <c r="AN117" s="294" t="s">
        <v>5</v>
      </c>
      <c r="AO117" s="294"/>
      <c r="AP117" s="294" t="s">
        <v>6</v>
      </c>
      <c r="AQ117" s="294"/>
      <c r="AR117" s="294" t="s">
        <v>7</v>
      </c>
      <c r="AS117" s="294"/>
      <c r="AT117" s="294" t="s">
        <v>8</v>
      </c>
      <c r="AU117" s="294"/>
      <c r="AV117" s="294" t="s">
        <v>9</v>
      </c>
      <c r="AW117" s="294"/>
      <c r="AX117" s="294" t="s">
        <v>10</v>
      </c>
      <c r="AY117" s="294"/>
      <c r="AZ117" s="294" t="s">
        <v>11</v>
      </c>
      <c r="BA117" s="294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75" zoomScale="80" zoomScaleNormal="80" workbookViewId="0">
      <selection activeCell="K95" sqref="K95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1463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22.2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12.100000000000001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2.2200000000000002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1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>
        <v>4</v>
      </c>
      <c r="P61" t="s">
        <v>583</v>
      </c>
    </row>
    <row r="62" spans="10:16" x14ac:dyDescent="0.25">
      <c r="J62" s="14" t="s">
        <v>584</v>
      </c>
      <c r="K62" s="79">
        <v>16</v>
      </c>
    </row>
    <row r="63" spans="10:16" x14ac:dyDescent="0.25">
      <c r="J63"/>
      <c r="K63"/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64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>
        <v>1</v>
      </c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1384</v>
      </c>
      <c r="K89" s="79">
        <v>1</v>
      </c>
      <c r="T89">
        <v>4</v>
      </c>
      <c r="U89" t="s">
        <v>624</v>
      </c>
    </row>
    <row r="90" spans="9:21" x14ac:dyDescent="0.25">
      <c r="J90" s="14" t="s">
        <v>623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>
        <v>1</v>
      </c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10">IF($T165&gt;0,$S165,0)</f>
        <v>1</v>
      </c>
      <c r="V165" s="172">
        <f t="shared" ref="V165:V207" si="11">IF($T165&gt;1,$S165,0)</f>
        <v>1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1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1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10"/>
        <v>3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3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3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0</v>
      </c>
      <c r="S168" s="172">
        <f>'Alim -Surf'!R11</f>
        <v>0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0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0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10"/>
        <v>4.2</v>
      </c>
      <c r="V187" s="172">
        <f t="shared" si="11"/>
        <v>4.2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4.2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4.2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0.7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0.7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22.2</v>
      </c>
      <c r="V228" s="61">
        <f t="shared" ref="V228:W228" si="22">SUM(V164:V227)</f>
        <v>12.100000000000001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0.7</v>
      </c>
      <c r="AI228" s="61">
        <f t="shared" si="24"/>
        <v>10.1</v>
      </c>
      <c r="AJ228" s="61">
        <f t="shared" si="24"/>
        <v>12.100000000000001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0</v>
      </c>
      <c r="D3" s="176">
        <f t="shared" si="0"/>
        <v>0</v>
      </c>
      <c r="E3" s="176">
        <f t="shared" si="0"/>
        <v>0</v>
      </c>
      <c r="F3" s="176">
        <f t="shared" si="0"/>
        <v>0</v>
      </c>
      <c r="G3" s="176">
        <f t="shared" si="0"/>
        <v>0</v>
      </c>
      <c r="H3" s="176">
        <f t="shared" si="0"/>
        <v>2</v>
      </c>
      <c r="I3" s="176">
        <f t="shared" si="0"/>
        <v>2</v>
      </c>
      <c r="J3" s="176">
        <f t="shared" si="0"/>
        <v>2</v>
      </c>
      <c r="K3" s="176">
        <f t="shared" si="0"/>
        <v>2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2</v>
      </c>
      <c r="W3" s="176">
        <f t="shared" si="0"/>
        <v>0</v>
      </c>
      <c r="X3" s="176">
        <f t="shared" si="0"/>
        <v>0</v>
      </c>
      <c r="Y3" s="176">
        <f t="shared" si="0"/>
        <v>0</v>
      </c>
      <c r="Z3" s="176">
        <f t="shared" si="0"/>
        <v>0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2</v>
      </c>
      <c r="D4" s="176">
        <f t="shared" ref="D4:Z4" si="1">COUNTIF(D81:D90,2)</f>
        <v>2</v>
      </c>
      <c r="E4" s="176">
        <f t="shared" si="1"/>
        <v>2</v>
      </c>
      <c r="F4" s="176">
        <f t="shared" si="1"/>
        <v>2</v>
      </c>
      <c r="G4" s="176">
        <f t="shared" si="1"/>
        <v>1</v>
      </c>
      <c r="H4" s="176">
        <f t="shared" si="1"/>
        <v>1</v>
      </c>
      <c r="I4" s="176">
        <f t="shared" si="1"/>
        <v>1</v>
      </c>
      <c r="J4" s="176">
        <f t="shared" si="1"/>
        <v>1</v>
      </c>
      <c r="K4" s="176">
        <f t="shared" si="1"/>
        <v>1</v>
      </c>
      <c r="L4" s="176">
        <f t="shared" si="1"/>
        <v>1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1</v>
      </c>
      <c r="W4" s="176">
        <f t="shared" si="1"/>
        <v>1</v>
      </c>
      <c r="X4" s="176">
        <f t="shared" si="1"/>
        <v>1</v>
      </c>
      <c r="Y4" s="176">
        <f t="shared" si="1"/>
        <v>1</v>
      </c>
      <c r="Z4" s="176">
        <f t="shared" si="1"/>
        <v>1</v>
      </c>
      <c r="AB4" s="32"/>
      <c r="AC4" s="5"/>
      <c r="AD4" s="275"/>
      <c r="AE4" s="275"/>
      <c r="AF4" s="275"/>
      <c r="AO4" s="14" t="s">
        <v>683</v>
      </c>
      <c r="AP4" s="30">
        <f>SUM(BG31:BI31)</f>
        <v>7262</v>
      </c>
      <c r="AQ4">
        <f>SUM(BJ31:BL31)</f>
        <v>32.299999999999997</v>
      </c>
      <c r="AV4" s="30">
        <f>Parcellaire!A2</f>
        <v>2</v>
      </c>
      <c r="AW4" s="30">
        <f>Parcellaire!B2</f>
        <v>1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540</v>
      </c>
      <c r="BC4" s="30">
        <f>ROUND(Parcellaire!U2,0)</f>
        <v>360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540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2.4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1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1</v>
      </c>
      <c r="M5" s="176">
        <f t="shared" si="9"/>
        <v>1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1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1</v>
      </c>
      <c r="Z5" s="176">
        <f t="shared" si="9"/>
        <v>1</v>
      </c>
      <c r="AB5" s="32"/>
      <c r="AC5" s="5"/>
      <c r="AD5" s="275"/>
      <c r="AE5" s="275"/>
      <c r="AF5" s="275"/>
      <c r="AI5" s="40" t="s">
        <v>1428</v>
      </c>
      <c r="AJ5" s="30">
        <f>MAX(C203:Z203)</f>
        <v>9</v>
      </c>
      <c r="AO5" s="14" t="s">
        <v>685</v>
      </c>
      <c r="AP5" s="30">
        <f>BI31</f>
        <v>2525</v>
      </c>
      <c r="AV5" s="30">
        <f>Parcellaire!A3</f>
        <v>3</v>
      </c>
      <c r="AW5" s="30">
        <f>Parcellaire!B3</f>
        <v>1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468</v>
      </c>
      <c r="BC5" s="30">
        <f>ROUND(Parcellaire!U3,0)</f>
        <v>312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468</v>
      </c>
      <c r="BJ5" s="172">
        <f t="shared" si="6"/>
        <v>0</v>
      </c>
      <c r="BK5" s="172">
        <f t="shared" si="7"/>
        <v>0</v>
      </c>
      <c r="BL5" s="172">
        <f t="shared" si="8"/>
        <v>1.8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5</v>
      </c>
      <c r="AW7" s="30">
        <f>Parcellaire!B5</f>
        <v>1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739</v>
      </c>
      <c r="BC7" s="30">
        <f>ROUND(Parcellaire!U5,0)</f>
        <v>492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10"/>
        <v>PE</v>
      </c>
      <c r="BG7" s="172">
        <f t="shared" si="11"/>
        <v>0</v>
      </c>
      <c r="BH7" s="172">
        <f t="shared" si="4"/>
        <v>0</v>
      </c>
      <c r="BI7" s="172">
        <f t="shared" si="5"/>
        <v>739</v>
      </c>
      <c r="BJ7" s="172">
        <f t="shared" si="6"/>
        <v>0</v>
      </c>
      <c r="BK7" s="172">
        <f t="shared" si="7"/>
        <v>0</v>
      </c>
      <c r="BL7" s="172">
        <f t="shared" si="8"/>
        <v>4.9000000000000004</v>
      </c>
    </row>
    <row r="8" spans="1:64" x14ac:dyDescent="0.25">
      <c r="A8" s="14" t="s">
        <v>690</v>
      </c>
      <c r="B8" t="s">
        <v>568</v>
      </c>
      <c r="C8" s="176">
        <f>(C3+C4)*[1]Protect!$B$12</f>
        <v>4</v>
      </c>
      <c r="D8" s="176">
        <f>(D3+D4)*[1]Protect!$B$12</f>
        <v>4</v>
      </c>
      <c r="E8" s="176">
        <f>(E3+E4)*[1]Protect!$B$12</f>
        <v>4</v>
      </c>
      <c r="F8" s="176">
        <f>(F3+F4)*[1]Protect!$B$12</f>
        <v>4</v>
      </c>
      <c r="G8" s="176">
        <f>(G3+G4)*[1]Protect!$B$12</f>
        <v>2</v>
      </c>
      <c r="H8" s="176">
        <f>(H3+H4)*[1]Protect!$B$12</f>
        <v>6</v>
      </c>
      <c r="I8" s="176">
        <f>(I3+I4)*[1]Protect!$B$12</f>
        <v>6</v>
      </c>
      <c r="J8" s="176">
        <f>(J3+J4)*[1]Protect!$B$12</f>
        <v>6</v>
      </c>
      <c r="K8" s="176">
        <f>(K3+K4)*[1]Protect!$B$12</f>
        <v>6</v>
      </c>
      <c r="L8" s="176">
        <f>(L3+L4)*[1]Protect!$B$12</f>
        <v>6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6</v>
      </c>
      <c r="W8" s="176">
        <f>(W3+W4)*[1]Protect!$B$12</f>
        <v>2</v>
      </c>
      <c r="X8" s="176">
        <f>(X3+X4)*[1]Protect!$B$12</f>
        <v>2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9</v>
      </c>
      <c r="AO8" s="14"/>
      <c r="AV8" s="30">
        <f>Parcellaire!A6</f>
        <v>6</v>
      </c>
      <c r="AW8" s="30">
        <f>Parcellaire!B6</f>
        <v>1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2">
        <f t="shared" si="11"/>
        <v>0</v>
      </c>
      <c r="BH8" s="172">
        <f t="shared" si="4"/>
        <v>0</v>
      </c>
      <c r="BI8" s="172">
        <f t="shared" si="5"/>
        <v>472</v>
      </c>
      <c r="BJ8" s="172">
        <f t="shared" si="6"/>
        <v>0</v>
      </c>
      <c r="BK8" s="172">
        <f t="shared" si="7"/>
        <v>0</v>
      </c>
      <c r="BL8" s="172">
        <f t="shared" si="8"/>
        <v>2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3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3</v>
      </c>
      <c r="M9" s="176">
        <f>M5*[1]Protect!$B$13</f>
        <v>3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3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3</v>
      </c>
      <c r="Z9" s="176">
        <f>Z5*[1]Protect!$B$13</f>
        <v>3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4</v>
      </c>
      <c r="D11" s="176">
        <f t="shared" ref="D11:Z11" si="14">SUM(D8:D10)</f>
        <v>4</v>
      </c>
      <c r="E11" s="176">
        <f t="shared" si="14"/>
        <v>4</v>
      </c>
      <c r="F11" s="176">
        <f t="shared" si="14"/>
        <v>4</v>
      </c>
      <c r="G11" s="176">
        <f t="shared" si="14"/>
        <v>5</v>
      </c>
      <c r="H11" s="176">
        <f t="shared" si="14"/>
        <v>9</v>
      </c>
      <c r="I11" s="176">
        <f t="shared" si="14"/>
        <v>9</v>
      </c>
      <c r="J11" s="176">
        <f t="shared" si="14"/>
        <v>9</v>
      </c>
      <c r="K11" s="176">
        <f t="shared" si="14"/>
        <v>9</v>
      </c>
      <c r="L11" s="176">
        <f t="shared" si="14"/>
        <v>9</v>
      </c>
      <c r="M11" s="176">
        <f t="shared" si="14"/>
        <v>7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7</v>
      </c>
      <c r="V11" s="176">
        <f t="shared" si="14"/>
        <v>9</v>
      </c>
      <c r="W11" s="176">
        <f t="shared" si="14"/>
        <v>5</v>
      </c>
      <c r="X11" s="176">
        <f t="shared" si="14"/>
        <v>5</v>
      </c>
      <c r="Y11" s="176">
        <f t="shared" si="14"/>
        <v>5</v>
      </c>
      <c r="Z11" s="176">
        <f t="shared" si="14"/>
        <v>5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4</v>
      </c>
      <c r="D13" s="176">
        <f t="shared" ref="D13:Z13" si="15">D11+D12</f>
        <v>4</v>
      </c>
      <c r="E13" s="176">
        <f t="shared" si="15"/>
        <v>4</v>
      </c>
      <c r="F13" s="176">
        <f t="shared" si="15"/>
        <v>4</v>
      </c>
      <c r="G13" s="176">
        <f t="shared" si="15"/>
        <v>5</v>
      </c>
      <c r="H13" s="176">
        <f t="shared" si="15"/>
        <v>9</v>
      </c>
      <c r="I13" s="176">
        <f t="shared" si="15"/>
        <v>9</v>
      </c>
      <c r="J13" s="176">
        <f t="shared" si="15"/>
        <v>9</v>
      </c>
      <c r="K13" s="176">
        <f t="shared" si="15"/>
        <v>9</v>
      </c>
      <c r="L13" s="176">
        <f t="shared" si="15"/>
        <v>9</v>
      </c>
      <c r="M13" s="176">
        <f t="shared" si="15"/>
        <v>7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7</v>
      </c>
      <c r="V13" s="176">
        <f t="shared" si="15"/>
        <v>9</v>
      </c>
      <c r="W13" s="176">
        <f t="shared" si="15"/>
        <v>5</v>
      </c>
      <c r="X13" s="176">
        <f t="shared" si="15"/>
        <v>5</v>
      </c>
      <c r="Y13" s="176">
        <f t="shared" si="15"/>
        <v>5</v>
      </c>
      <c r="Z13" s="176">
        <f t="shared" si="15"/>
        <v>5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2</v>
      </c>
      <c r="D15" s="172">
        <f t="shared" si="16"/>
        <v>2</v>
      </c>
      <c r="E15" s="172">
        <f t="shared" si="16"/>
        <v>2</v>
      </c>
      <c r="F15" s="172">
        <f t="shared" si="16"/>
        <v>2</v>
      </c>
      <c r="G15" s="172">
        <f t="shared" si="16"/>
        <v>2</v>
      </c>
      <c r="H15" s="172">
        <f t="shared" si="16"/>
        <v>2</v>
      </c>
      <c r="I15" s="172">
        <f t="shared" si="16"/>
        <v>2</v>
      </c>
      <c r="J15" s="172">
        <f t="shared" si="16"/>
        <v>2</v>
      </c>
      <c r="K15" s="172">
        <f t="shared" si="16"/>
        <v>2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2</v>
      </c>
      <c r="W15" s="172">
        <f t="shared" si="16"/>
        <v>2</v>
      </c>
      <c r="X15" s="172">
        <f t="shared" si="16"/>
        <v>2</v>
      </c>
      <c r="Y15" s="172">
        <f t="shared" si="16"/>
        <v>2</v>
      </c>
      <c r="Z15" s="172">
        <f t="shared" si="16"/>
        <v>2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2</v>
      </c>
      <c r="D16" s="172">
        <f t="shared" si="17"/>
        <v>2</v>
      </c>
      <c r="E16" s="172">
        <f t="shared" si="17"/>
        <v>2</v>
      </c>
      <c r="F16" s="172">
        <f t="shared" si="17"/>
        <v>1</v>
      </c>
      <c r="G16" s="172">
        <f t="shared" si="17"/>
        <v>1</v>
      </c>
      <c r="H16" s="172">
        <f t="shared" si="17"/>
        <v>0</v>
      </c>
      <c r="I16" s="172">
        <f t="shared" si="17"/>
        <v>0</v>
      </c>
      <c r="J16" s="172">
        <f t="shared" si="17"/>
        <v>0</v>
      </c>
      <c r="K16" s="172">
        <f t="shared" si="17"/>
        <v>0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0</v>
      </c>
      <c r="W16" s="172">
        <f t="shared" si="17"/>
        <v>2</v>
      </c>
      <c r="X16" s="172">
        <f t="shared" si="17"/>
        <v>2</v>
      </c>
      <c r="Y16" s="172">
        <f t="shared" si="17"/>
        <v>2</v>
      </c>
      <c r="Z16" s="172">
        <f t="shared" si="17"/>
        <v>2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0</v>
      </c>
      <c r="D17" s="172">
        <f t="shared" si="18"/>
        <v>0</v>
      </c>
      <c r="E17" s="172">
        <f t="shared" si="18"/>
        <v>0</v>
      </c>
      <c r="F17" s="172">
        <f t="shared" si="18"/>
        <v>1</v>
      </c>
      <c r="G17" s="172">
        <f t="shared" si="18"/>
        <v>1</v>
      </c>
      <c r="H17" s="172">
        <f t="shared" si="18"/>
        <v>2</v>
      </c>
      <c r="I17" s="172">
        <f t="shared" si="18"/>
        <v>2</v>
      </c>
      <c r="J17" s="172">
        <f t="shared" si="18"/>
        <v>2</v>
      </c>
      <c r="K17" s="172">
        <f t="shared" si="18"/>
        <v>2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2</v>
      </c>
      <c r="W17" s="172">
        <f t="shared" si="18"/>
        <v>0</v>
      </c>
      <c r="X17" s="172">
        <f t="shared" si="18"/>
        <v>0</v>
      </c>
      <c r="Y17" s="172">
        <f t="shared" si="18"/>
        <v>0</v>
      </c>
      <c r="Z17" s="172">
        <f t="shared" si="18"/>
        <v>0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3</v>
      </c>
      <c r="D18" s="61">
        <f t="shared" ref="D18:Z18" si="19">IF(AND(D15=0,(D16+D17)&gt;0),1,IF(AND(D15&gt;0,(D16+D17)&gt;0),D15+1,D15))</f>
        <v>3</v>
      </c>
      <c r="E18" s="61">
        <f t="shared" si="19"/>
        <v>3</v>
      </c>
      <c r="F18" s="61">
        <f t="shared" si="19"/>
        <v>3</v>
      </c>
      <c r="G18" s="61">
        <f t="shared" si="19"/>
        <v>3</v>
      </c>
      <c r="H18" s="61">
        <f t="shared" si="19"/>
        <v>3</v>
      </c>
      <c r="I18" s="61">
        <f t="shared" si="19"/>
        <v>3</v>
      </c>
      <c r="J18" s="61">
        <f t="shared" si="19"/>
        <v>3</v>
      </c>
      <c r="K18" s="61">
        <f t="shared" si="19"/>
        <v>3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3</v>
      </c>
      <c r="W18" s="61">
        <f t="shared" si="19"/>
        <v>3</v>
      </c>
      <c r="X18" s="61">
        <f t="shared" si="19"/>
        <v>3</v>
      </c>
      <c r="Y18" s="61">
        <f t="shared" si="19"/>
        <v>3</v>
      </c>
      <c r="Z18" s="61">
        <f t="shared" si="19"/>
        <v>3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1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306</v>
      </c>
      <c r="BC18" s="30">
        <f>ROUND(Parcellaire!U16,0)</f>
        <v>204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PE</v>
      </c>
      <c r="BG18" s="172">
        <f t="shared" si="11"/>
        <v>0</v>
      </c>
      <c r="BH18" s="172">
        <f t="shared" si="4"/>
        <v>0</v>
      </c>
      <c r="BI18" s="172">
        <f t="shared" si="5"/>
        <v>306</v>
      </c>
      <c r="BJ18" s="172">
        <f t="shared" si="6"/>
        <v>0</v>
      </c>
      <c r="BK18" s="172">
        <f t="shared" si="7"/>
        <v>0</v>
      </c>
      <c r="BL18" s="172">
        <f t="shared" si="8"/>
        <v>0.7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2</v>
      </c>
      <c r="O20" s="172">
        <f t="shared" si="21"/>
        <v>2</v>
      </c>
      <c r="P20" s="172">
        <f t="shared" si="21"/>
        <v>2</v>
      </c>
      <c r="Q20" s="172">
        <f t="shared" si="21"/>
        <v>2</v>
      </c>
      <c r="R20" s="172">
        <f t="shared" si="21"/>
        <v>2</v>
      </c>
      <c r="S20" s="172">
        <f t="shared" si="21"/>
        <v>2</v>
      </c>
      <c r="T20" s="172">
        <f t="shared" si="21"/>
        <v>2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7262</v>
      </c>
      <c r="AE20" s="63">
        <v>0</v>
      </c>
      <c r="AF20" s="63">
        <f>SUM(AD20:AE20)</f>
        <v>7262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7262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3</v>
      </c>
      <c r="D22" s="61">
        <f t="shared" ref="D22:Z22" si="22">D18+D19+D21</f>
        <v>3</v>
      </c>
      <c r="E22" s="61">
        <f t="shared" si="22"/>
        <v>3</v>
      </c>
      <c r="F22" s="61">
        <f t="shared" si="22"/>
        <v>3</v>
      </c>
      <c r="G22" s="61">
        <f t="shared" si="22"/>
        <v>3</v>
      </c>
      <c r="H22" s="61">
        <f t="shared" si="22"/>
        <v>3</v>
      </c>
      <c r="I22" s="61">
        <f t="shared" si="22"/>
        <v>3</v>
      </c>
      <c r="J22" s="61">
        <f t="shared" si="22"/>
        <v>3</v>
      </c>
      <c r="K22" s="61">
        <f t="shared" si="22"/>
        <v>3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3</v>
      </c>
      <c r="W22" s="61">
        <f t="shared" si="22"/>
        <v>3</v>
      </c>
      <c r="X22" s="61">
        <f t="shared" si="22"/>
        <v>3</v>
      </c>
      <c r="Y22" s="61">
        <f t="shared" si="22"/>
        <v>3</v>
      </c>
      <c r="Z22" s="61">
        <f t="shared" si="22"/>
        <v>3</v>
      </c>
      <c r="AC22" s="14" t="s">
        <v>718</v>
      </c>
      <c r="AD22" s="63">
        <f>IF(AND(Scénario!K88=1,Troupeau!B3="OL"),Protection!AP6,0)</f>
        <v>3438</v>
      </c>
      <c r="AE22" s="63">
        <f>IF(AND(LEFT(Scénario!K12,2)="OL",Troupeau!C3&lt;&gt;"",Scénario!K91=1),Protection!AP5+Protection!AP3,0)</f>
        <v>0</v>
      </c>
      <c r="AF22" s="63">
        <f>SUM(AD22:AE22)</f>
        <v>3438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3</v>
      </c>
      <c r="L25" s="176">
        <f t="shared" si="23"/>
        <v>2</v>
      </c>
      <c r="M25" s="176">
        <f t="shared" si="23"/>
        <v>2</v>
      </c>
      <c r="N25" s="176">
        <f t="shared" si="23"/>
        <v>2</v>
      </c>
      <c r="O25" s="176">
        <f t="shared" si="23"/>
        <v>1</v>
      </c>
      <c r="P25" s="176">
        <f t="shared" si="23"/>
        <v>1</v>
      </c>
      <c r="Q25" s="176">
        <f t="shared" si="23"/>
        <v>2</v>
      </c>
      <c r="R25" s="176">
        <f t="shared" si="23"/>
        <v>2</v>
      </c>
      <c r="S25" s="176">
        <f t="shared" si="23"/>
        <v>2</v>
      </c>
      <c r="T25" s="176">
        <f t="shared" si="23"/>
        <v>2</v>
      </c>
      <c r="U25" s="176">
        <f t="shared" si="23"/>
        <v>3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7262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32.299999999999997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1</v>
      </c>
      <c r="N28" s="176">
        <f t="shared" si="26"/>
        <v>1</v>
      </c>
      <c r="O28" s="176">
        <f t="shared" si="26"/>
        <v>1</v>
      </c>
      <c r="P28" s="176">
        <f t="shared" si="26"/>
        <v>1</v>
      </c>
      <c r="Q28" s="176">
        <f t="shared" si="26"/>
        <v>1</v>
      </c>
      <c r="R28" s="176">
        <f t="shared" si="26"/>
        <v>1</v>
      </c>
      <c r="S28" s="176">
        <f t="shared" si="26"/>
        <v>1</v>
      </c>
      <c r="T28" s="176">
        <f t="shared" si="26"/>
        <v>1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1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6</v>
      </c>
      <c r="L29" s="176">
        <f>L25*[1]Protect!$B$12</f>
        <v>4</v>
      </c>
      <c r="M29" s="176">
        <f>M25*[1]Protect!$B$12</f>
        <v>4</v>
      </c>
      <c r="N29" s="176">
        <f>N25*[1]Protect!$B$12</f>
        <v>4</v>
      </c>
      <c r="O29" s="176">
        <f>O25*[1]Protect!$B$12</f>
        <v>2</v>
      </c>
      <c r="P29" s="176">
        <f>P25*[1]Protect!$B$12</f>
        <v>2</v>
      </c>
      <c r="Q29" s="176">
        <f>Q25*[1]Protect!$B$12</f>
        <v>4</v>
      </c>
      <c r="R29" s="176">
        <f>R25*[1]Protect!$B$12</f>
        <v>4</v>
      </c>
      <c r="S29" s="176">
        <f>S25*[1]Protect!$B$12</f>
        <v>4</v>
      </c>
      <c r="T29" s="176">
        <f>T25*[1]Protect!$B$12</f>
        <v>4</v>
      </c>
      <c r="U29" s="176">
        <f>U25*[1]Protect!$B$12</f>
        <v>6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2525</v>
      </c>
      <c r="BJ31" s="61">
        <f t="shared" si="27"/>
        <v>7.1</v>
      </c>
      <c r="BK31" s="61">
        <f t="shared" si="27"/>
        <v>13.400000000000002</v>
      </c>
      <c r="BL31" s="61">
        <f>SUM(BL3:BL30)</f>
        <v>11.8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6</v>
      </c>
      <c r="L32" s="176">
        <f t="shared" si="28"/>
        <v>7</v>
      </c>
      <c r="M32" s="176">
        <f t="shared" si="28"/>
        <v>4</v>
      </c>
      <c r="N32" s="176">
        <f t="shared" si="28"/>
        <v>4</v>
      </c>
      <c r="O32" s="176">
        <f t="shared" si="28"/>
        <v>5</v>
      </c>
      <c r="P32" s="176">
        <f t="shared" si="28"/>
        <v>5</v>
      </c>
      <c r="Q32" s="176">
        <f t="shared" si="28"/>
        <v>4</v>
      </c>
      <c r="R32" s="176">
        <f t="shared" si="28"/>
        <v>4</v>
      </c>
      <c r="S32" s="176">
        <f t="shared" si="28"/>
        <v>4</v>
      </c>
      <c r="T32" s="176">
        <f t="shared" si="28"/>
        <v>4</v>
      </c>
      <c r="U32" s="176">
        <f t="shared" si="28"/>
        <v>6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4</v>
      </c>
      <c r="N33" s="176">
        <f>N28*[1]Protect!$B$15</f>
        <v>4</v>
      </c>
      <c r="O33" s="176">
        <f>O28*[1]Protect!$B$15</f>
        <v>4</v>
      </c>
      <c r="P33" s="176">
        <f>P28*[1]Protect!$B$15</f>
        <v>4</v>
      </c>
      <c r="Q33" s="176">
        <f>Q28*[1]Protect!$B$15</f>
        <v>4</v>
      </c>
      <c r="R33" s="176">
        <f>R28*[1]Protect!$B$15</f>
        <v>4</v>
      </c>
      <c r="S33" s="176">
        <f>S28*[1]Protect!$B$15</f>
        <v>4</v>
      </c>
      <c r="T33" s="176">
        <f>T28*[1]Protect!$B$15</f>
        <v>4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12</v>
      </c>
      <c r="L34" s="176">
        <f t="shared" si="29"/>
        <v>14</v>
      </c>
      <c r="M34" s="176">
        <f t="shared" si="29"/>
        <v>12</v>
      </c>
      <c r="N34" s="176">
        <f t="shared" si="29"/>
        <v>12</v>
      </c>
      <c r="O34" s="176">
        <f t="shared" si="29"/>
        <v>14</v>
      </c>
      <c r="P34" s="176">
        <f t="shared" si="29"/>
        <v>14</v>
      </c>
      <c r="Q34" s="176">
        <f t="shared" si="29"/>
        <v>12</v>
      </c>
      <c r="R34" s="176">
        <f t="shared" si="29"/>
        <v>12</v>
      </c>
      <c r="S34" s="176">
        <f t="shared" si="29"/>
        <v>12</v>
      </c>
      <c r="T34" s="176">
        <f t="shared" si="29"/>
        <v>12</v>
      </c>
      <c r="U34" s="176">
        <f t="shared" si="29"/>
        <v>12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2</v>
      </c>
      <c r="N36" s="172">
        <f t="shared" si="30"/>
        <v>2</v>
      </c>
      <c r="O36" s="172">
        <f t="shared" si="30"/>
        <v>2</v>
      </c>
      <c r="P36" s="172">
        <f t="shared" si="30"/>
        <v>2</v>
      </c>
      <c r="Q36" s="172">
        <f t="shared" si="30"/>
        <v>2</v>
      </c>
      <c r="R36" s="172">
        <f t="shared" si="30"/>
        <v>2</v>
      </c>
      <c r="S36" s="172">
        <f t="shared" si="30"/>
        <v>2</v>
      </c>
      <c r="T36" s="172">
        <f t="shared" si="30"/>
        <v>2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2</v>
      </c>
      <c r="N39" s="61">
        <f t="shared" si="33"/>
        <v>2</v>
      </c>
      <c r="O39" s="61">
        <f t="shared" si="33"/>
        <v>2</v>
      </c>
      <c r="P39" s="61">
        <f t="shared" si="33"/>
        <v>2</v>
      </c>
      <c r="Q39" s="61">
        <f t="shared" si="33"/>
        <v>2</v>
      </c>
      <c r="R39" s="61">
        <f t="shared" si="33"/>
        <v>2</v>
      </c>
      <c r="S39" s="61">
        <f t="shared" si="33"/>
        <v>2</v>
      </c>
      <c r="T39" s="61">
        <f t="shared" si="33"/>
        <v>2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1</v>
      </c>
      <c r="N41" s="172">
        <f t="shared" si="35"/>
        <v>1</v>
      </c>
      <c r="O41" s="172">
        <f t="shared" si="35"/>
        <v>1</v>
      </c>
      <c r="P41" s="172">
        <f t="shared" si="35"/>
        <v>1</v>
      </c>
      <c r="Q41" s="172">
        <f t="shared" si="35"/>
        <v>1</v>
      </c>
      <c r="R41" s="172">
        <f t="shared" si="35"/>
        <v>1</v>
      </c>
      <c r="S41" s="172">
        <f t="shared" si="35"/>
        <v>1</v>
      </c>
      <c r="T41" s="172">
        <f t="shared" si="35"/>
        <v>1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1</v>
      </c>
      <c r="N42" s="61">
        <f>IF(Protection!N41&gt;0,Scénario!$K$58,0)</f>
        <v>1</v>
      </c>
      <c r="O42" s="61">
        <f>IF(Protection!O41&gt;0,Scénario!$K$58,0)</f>
        <v>1</v>
      </c>
      <c r="P42" s="61">
        <f>IF(Protection!P41&gt;0,Scénario!$K$58,0)</f>
        <v>1</v>
      </c>
      <c r="Q42" s="61">
        <f>IF(Protection!Q41&gt;0,Scénario!$K$58,0)</f>
        <v>1</v>
      </c>
      <c r="R42" s="61">
        <f>IF(Protection!R41&gt;0,Scénario!$K$58,0)</f>
        <v>1</v>
      </c>
      <c r="S42" s="61">
        <f>IF(Protection!S41&gt;0,Scénario!$K$58,0)</f>
        <v>1</v>
      </c>
      <c r="T42" s="61">
        <f>IF(Protection!T41&gt;0,Scénario!$K$58,0)</f>
        <v>1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</v>
      </c>
      <c r="D69" s="172">
        <f>IF($AA69=0,99,IF(D82&gt;3,CdTrp1!C77,CdTrp1!C53))</f>
        <v>0</v>
      </c>
      <c r="E69" s="172">
        <f>IF($AA69=0,99,IF(E82&gt;3,CdTrp1!D77,CdTrp1!D53))</f>
        <v>0</v>
      </c>
      <c r="F69" s="172">
        <f>IF($AA69=0,99,IF(F82&gt;3,CdTrp1!E77,CdTrp1!E53))</f>
        <v>0</v>
      </c>
      <c r="G69" s="172">
        <f>IF($AA69=0,99,IF(G82&gt;3,CdTrp1!F77,CdTrp1!F53))</f>
        <v>0</v>
      </c>
      <c r="H69" s="172">
        <f>IF($AA69=0,99,IF(H82&gt;3,CdTrp1!G77,CdTrp1!G53))</f>
        <v>0</v>
      </c>
      <c r="I69" s="172">
        <f>IF($AA69=0,99,IF(I82&gt;3,CdTrp1!H77,CdTrp1!H53))</f>
        <v>0</v>
      </c>
      <c r="J69" s="172">
        <f>IF($AA69=0,99,IF(J82&gt;3,CdTrp1!I77,CdTrp1!I53))</f>
        <v>0</v>
      </c>
      <c r="K69" s="172">
        <f>IF($AA69=0,99,IF(K82&gt;3,CdTrp1!J77,CdTrp1!J53))</f>
        <v>0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5</v>
      </c>
      <c r="O69" s="172">
        <f>IF($AA69=0,99,IF(O82&gt;3,CdTrp1!N77,CdTrp1!N53))</f>
        <v>5</v>
      </c>
      <c r="P69" s="172">
        <f>IF($AA69=0,99,IF(P82&gt;3,CdTrp1!O77,CdTrp1!O53))</f>
        <v>5</v>
      </c>
      <c r="Q69" s="172">
        <f>IF($AA69=0,99,IF(Q82&gt;3,CdTrp1!P77,CdTrp1!P53))</f>
        <v>5</v>
      </c>
      <c r="R69" s="172">
        <f>IF($AA69=0,99,IF(R82&gt;3,CdTrp1!Q77,CdTrp1!Q53))</f>
        <v>5</v>
      </c>
      <c r="S69" s="172">
        <f>IF($AA69=0,99,IF(S82&gt;3,CdTrp1!R77,CdTrp1!R53))</f>
        <v>5</v>
      </c>
      <c r="T69" s="172">
        <f>IF($AA69=0,99,IF(T82&gt;3,CdTrp1!S77,CdTrp1!S53))</f>
        <v>5</v>
      </c>
      <c r="U69" s="172">
        <f>IF($AA69=0,99,IF(U82&gt;3,CdTrp1!T77,CdTrp1!T53))</f>
        <v>99</v>
      </c>
      <c r="V69" s="172">
        <f>IF($AA69=0,99,IF(V82&gt;3,CdTrp1!U77,CdTrp1!U53))</f>
        <v>0</v>
      </c>
      <c r="W69" s="172">
        <f>IF($AA69=0,99,IF(W82&gt;3,CdTrp1!V77,CdTrp1!V53))</f>
        <v>0</v>
      </c>
      <c r="X69" s="172">
        <f>IF($AA69=0,99,IF(X82&gt;3,CdTrp1!W77,CdTrp1!W53))</f>
        <v>0</v>
      </c>
      <c r="Y69" s="172">
        <f>IF($AA69=0,99,IF(Y82&gt;3,CdTrp1!X77,CdTrp1!X53))</f>
        <v>0</v>
      </c>
      <c r="Z69" s="172">
        <f>IF($AA69=0,99,IF(Z82&gt;3,CdTrp1!Y77,CdTrp1!Y53))</f>
        <v>0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0.5</v>
      </c>
      <c r="I70" s="172">
        <f>IF($AA70=0,99,IF(I83&gt;3,CdTrp1!H78,CdTrp1!H54))</f>
        <v>0.5</v>
      </c>
      <c r="J70" s="172">
        <f>IF($AA70=0,99,IF(J83&gt;3,CdTrp1!I78,CdTrp1!I54))</f>
        <v>0.5</v>
      </c>
      <c r="K70" s="172">
        <f>IF($AA70=0,99,IF(K83&gt;3,CdTrp1!J78,CdTrp1!J54))</f>
        <v>0.5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0.5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0</v>
      </c>
      <c r="D71" s="172">
        <f>IF($AA71=0,99,IF(D84&gt;3,CdTrp1!C79,CdTrp1!C55))</f>
        <v>0</v>
      </c>
      <c r="E71" s="172">
        <f>IF($AA71=0,99,IF(E84&gt;3,CdTrp1!D79,CdTrp1!D55))</f>
        <v>0</v>
      </c>
      <c r="F71" s="172">
        <f>IF($AA71=0,99,IF(F84&gt;3,CdTrp1!E79,CdTrp1!E55))</f>
        <v>0</v>
      </c>
      <c r="G71" s="172">
        <f>IF($AA71=0,99,IF(G84&gt;3,CdTrp1!F79,CdTrp1!F55))</f>
        <v>0</v>
      </c>
      <c r="H71" s="172">
        <f>IF($AA71=0,99,IF(H84&gt;3,CdTrp1!G79,CdTrp1!G55))</f>
        <v>0</v>
      </c>
      <c r="I71" s="172">
        <f>IF($AA71=0,99,IF(I84&gt;3,CdTrp1!H79,CdTrp1!H55))</f>
        <v>0</v>
      </c>
      <c r="J71" s="172">
        <f>IF($AA71=0,99,IF(J84&gt;3,CdTrp1!I79,CdTrp1!I55))</f>
        <v>0</v>
      </c>
      <c r="K71" s="172">
        <f>IF($AA71=0,99,IF(K84&gt;3,CdTrp1!J79,CdTrp1!J55))</f>
        <v>0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0</v>
      </c>
      <c r="W71" s="172">
        <f>IF($AA71=0,99,IF(W84&gt;3,CdTrp1!V79,CdTrp1!V55))</f>
        <v>0</v>
      </c>
      <c r="X71" s="172">
        <f>IF($AA71=0,99,IF(X84&gt;3,CdTrp1!W79,CdTrp1!W55))</f>
        <v>0</v>
      </c>
      <c r="Y71" s="172">
        <f>IF($AA71=0,99,IF(Y84&gt;3,CdTrp1!X79,CdTrp1!X55))</f>
        <v>0</v>
      </c>
      <c r="Z71" s="172">
        <f>IF($AA71=0,99,IF(Z84&gt;3,CdTrp1!Y79,CdTrp1!Y55))</f>
        <v>0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2</v>
      </c>
      <c r="D82" s="172">
        <f>CdTrp1!C77</f>
        <v>2</v>
      </c>
      <c r="E82" s="172">
        <f>CdTrp1!D77</f>
        <v>2</v>
      </c>
      <c r="F82" s="172">
        <f>CdTrp1!E77</f>
        <v>2</v>
      </c>
      <c r="G82" s="172">
        <f>CdTrp1!F77</f>
        <v>3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3</v>
      </c>
      <c r="M82" s="172">
        <f>CdTrp1!L77</f>
        <v>3</v>
      </c>
      <c r="N82" s="172">
        <f>CdTrp1!M77</f>
        <v>5</v>
      </c>
      <c r="O82" s="172">
        <f>CdTrp1!N77</f>
        <v>5</v>
      </c>
      <c r="P82" s="172">
        <f>CdTrp1!O77</f>
        <v>5</v>
      </c>
      <c r="Q82" s="172">
        <f>CdTrp1!P77</f>
        <v>5</v>
      </c>
      <c r="R82" s="172">
        <f>CdTrp1!Q77</f>
        <v>5</v>
      </c>
      <c r="S82" s="172">
        <f>CdTrp1!R77</f>
        <v>5</v>
      </c>
      <c r="T82" s="172">
        <f>CdTrp1!S77</f>
        <v>5</v>
      </c>
      <c r="U82" s="172">
        <f>CdTrp1!T77</f>
        <v>3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3</v>
      </c>
      <c r="Z82" s="172">
        <f>CdTrp1!Y77</f>
        <v>3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1</v>
      </c>
      <c r="I83" s="172">
        <f>CdTrp1!H78</f>
        <v>1</v>
      </c>
      <c r="J83" s="172">
        <f>CdTrp1!I78</f>
        <v>1</v>
      </c>
      <c r="K83" s="172">
        <f>CdTrp1!J78</f>
        <v>1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1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2</v>
      </c>
      <c r="D84" s="172">
        <f>CdTrp1!C79</f>
        <v>2</v>
      </c>
      <c r="E84" s="172">
        <f>CdTrp1!D79</f>
        <v>2</v>
      </c>
      <c r="F84" s="172">
        <f>CdTrp1!E79</f>
        <v>2</v>
      </c>
      <c r="G84" s="172">
        <f>CdTrp1!F79</f>
        <v>2</v>
      </c>
      <c r="H84" s="172">
        <f>CdTrp1!G79</f>
        <v>2</v>
      </c>
      <c r="I84" s="172">
        <f>CdTrp1!H79</f>
        <v>2</v>
      </c>
      <c r="J84" s="172">
        <f>CdTrp1!I79</f>
        <v>2</v>
      </c>
      <c r="K84" s="172">
        <f>CdTrp1!J79</f>
        <v>2</v>
      </c>
      <c r="L84" s="172">
        <f>CdTrp1!K79</f>
        <v>2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2</v>
      </c>
      <c r="W84" s="172">
        <f>CdTrp1!V79</f>
        <v>2</v>
      </c>
      <c r="X84" s="172">
        <f>CdTrp1!W79</f>
        <v>2</v>
      </c>
      <c r="Y84" s="172">
        <f>CdTrp1!X79</f>
        <v>2</v>
      </c>
      <c r="Z84" s="172">
        <f>CdTrp1!Y79</f>
        <v>2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5</v>
      </c>
      <c r="N110" s="172">
        <f>IF($AA110=0,99,IF(N123&gt;3,CdTrp2!M76,CdTrp2!M52))</f>
        <v>5</v>
      </c>
      <c r="O110" s="172">
        <f>IF($AA110=0,99,IF(O123&gt;3,CdTrp2!N76,CdTrp2!N52))</f>
        <v>5</v>
      </c>
      <c r="P110" s="172">
        <f>IF($AA110=0,99,IF(P123&gt;3,CdTrp2!O76,CdTrp2!O52))</f>
        <v>5</v>
      </c>
      <c r="Q110" s="172">
        <f>IF($AA110=0,99,IF(Q123&gt;3,CdTrp2!P76,CdTrp2!P52))</f>
        <v>5</v>
      </c>
      <c r="R110" s="172">
        <f>IF($AA110=0,99,IF(R123&gt;3,CdTrp2!Q76,CdTrp2!Q52))</f>
        <v>5</v>
      </c>
      <c r="S110" s="172">
        <f>IF($AA110=0,99,IF(S123&gt;3,CdTrp2!R76,CdTrp2!R52))</f>
        <v>5</v>
      </c>
      <c r="T110" s="172">
        <f>IF($AA110=0,99,IF(T123&gt;3,CdTrp2!S76,CdTrp2!S52))</f>
        <v>5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3</v>
      </c>
      <c r="D180" s="172">
        <f>IF(Troupeau!$B$3="OL",Protection!D18,0)</f>
        <v>3</v>
      </c>
      <c r="E180" s="172">
        <f>IF(Troupeau!$B$3="OL",Protection!E18,0)</f>
        <v>3</v>
      </c>
      <c r="F180" s="172">
        <f>IF(Troupeau!$B$3="OL",Protection!F18,0)</f>
        <v>3</v>
      </c>
      <c r="G180" s="172">
        <f>IF(Troupeau!$B$3="OL",Protection!G18,0)</f>
        <v>3</v>
      </c>
      <c r="H180" s="172">
        <f>IF(Troupeau!$B$3="OL",Protection!H18,0)</f>
        <v>3</v>
      </c>
      <c r="I180" s="172">
        <f>IF(Troupeau!$B$3="OL",Protection!I18,0)</f>
        <v>3</v>
      </c>
      <c r="J180" s="172">
        <f>IF(Troupeau!$B$3="OL",Protection!J18,0)</f>
        <v>3</v>
      </c>
      <c r="K180" s="172">
        <f>IF(Troupeau!$B$3="OL",Protection!K18,0)</f>
        <v>3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3</v>
      </c>
      <c r="W180" s="172">
        <f>IF(Troupeau!$B$3="OL",Protection!W18,0)</f>
        <v>3</v>
      </c>
      <c r="X180" s="172">
        <f>IF(Troupeau!$B$3="OL",Protection!X18,0)</f>
        <v>3</v>
      </c>
      <c r="Y180" s="172">
        <f>IF(Troupeau!$B$3="OL",Protection!Y18,0)</f>
        <v>3</v>
      </c>
      <c r="Z180" s="172">
        <f>IF(Troupeau!$B$3="OL",Protection!Z18,0)</f>
        <v>3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3</v>
      </c>
      <c r="D195" s="172">
        <f t="shared" ref="D195:Z196" si="50">D180+D183+D185+D187</f>
        <v>3</v>
      </c>
      <c r="E195" s="172">
        <f t="shared" si="50"/>
        <v>3</v>
      </c>
      <c r="F195" s="172">
        <f t="shared" si="50"/>
        <v>3</v>
      </c>
      <c r="G195" s="172">
        <f t="shared" si="50"/>
        <v>3</v>
      </c>
      <c r="H195" s="172">
        <f t="shared" si="50"/>
        <v>3</v>
      </c>
      <c r="I195" s="172">
        <f t="shared" si="50"/>
        <v>3</v>
      </c>
      <c r="J195" s="172">
        <f t="shared" si="50"/>
        <v>3</v>
      </c>
      <c r="K195" s="172">
        <f t="shared" si="50"/>
        <v>3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3</v>
      </c>
      <c r="W195" s="172">
        <f t="shared" si="50"/>
        <v>3</v>
      </c>
      <c r="X195" s="172">
        <f t="shared" si="50"/>
        <v>3</v>
      </c>
      <c r="Y195" s="172">
        <f t="shared" si="50"/>
        <v>3</v>
      </c>
      <c r="Z195" s="172">
        <f t="shared" si="50"/>
        <v>3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4</v>
      </c>
      <c r="D201" s="172">
        <f>IF(Troupeau!$B$3="OL",D8+D9,0)</f>
        <v>4</v>
      </c>
      <c r="E201" s="172">
        <f>IF(Troupeau!$B$3="OL",E8+E9,0)</f>
        <v>4</v>
      </c>
      <c r="F201" s="172">
        <f>IF(Troupeau!$B$3="OL",F8+F9,0)</f>
        <v>4</v>
      </c>
      <c r="G201" s="172">
        <f>IF(Troupeau!$B$3="OL",G8+G9,0)</f>
        <v>5</v>
      </c>
      <c r="H201" s="172">
        <f>IF(Troupeau!$B$3="OL",H8+H9,0)</f>
        <v>9</v>
      </c>
      <c r="I201" s="172">
        <f>IF(Troupeau!$B$3="OL",I8+I9,0)</f>
        <v>9</v>
      </c>
      <c r="J201" s="172">
        <f>IF(Troupeau!$B$3="OL",J8+J9,0)</f>
        <v>9</v>
      </c>
      <c r="K201" s="172">
        <f>IF(Troupeau!$B$3="OL",K8+K9,0)</f>
        <v>9</v>
      </c>
      <c r="L201" s="172">
        <f>IF(Troupeau!$B$3="OL",L8+L9,0)</f>
        <v>9</v>
      </c>
      <c r="M201" s="172">
        <f>IF(Troupeau!$B$3="OL",M8+M9,0)</f>
        <v>7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7</v>
      </c>
      <c r="V201" s="172">
        <f>IF(Troupeau!$B$3="OL",V8+V9,0)</f>
        <v>9</v>
      </c>
      <c r="W201" s="172">
        <f>IF(Troupeau!$B$3="OL",W8+W9,0)</f>
        <v>5</v>
      </c>
      <c r="X201" s="172">
        <f>IF(Troupeau!$B$3="OL",X8+X9,0)</f>
        <v>5</v>
      </c>
      <c r="Y201" s="172">
        <f>IF(Troupeau!$B$3="OL",Y8+Y9,0)</f>
        <v>5</v>
      </c>
      <c r="Z201" s="172">
        <f>IF(Troupeau!$B$3="OL",Z8+Z9,0)</f>
        <v>5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4</v>
      </c>
      <c r="D203" s="172">
        <f t="shared" ref="D203:Z203" si="51">SUM(D201:D202)</f>
        <v>4</v>
      </c>
      <c r="E203" s="172">
        <f t="shared" si="51"/>
        <v>4</v>
      </c>
      <c r="F203" s="172">
        <f t="shared" si="51"/>
        <v>4</v>
      </c>
      <c r="G203" s="172">
        <f t="shared" si="51"/>
        <v>5</v>
      </c>
      <c r="H203" s="172">
        <f t="shared" si="51"/>
        <v>9</v>
      </c>
      <c r="I203" s="172">
        <f t="shared" si="51"/>
        <v>9</v>
      </c>
      <c r="J203" s="172">
        <f t="shared" si="51"/>
        <v>9</v>
      </c>
      <c r="K203" s="172">
        <f t="shared" si="51"/>
        <v>9</v>
      </c>
      <c r="L203" s="172">
        <f t="shared" si="51"/>
        <v>9</v>
      </c>
      <c r="M203" s="172">
        <f t="shared" si="51"/>
        <v>7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7</v>
      </c>
      <c r="V203" s="172">
        <f t="shared" si="51"/>
        <v>9</v>
      </c>
      <c r="W203" s="172">
        <f t="shared" si="51"/>
        <v>5</v>
      </c>
      <c r="X203" s="172">
        <f t="shared" si="51"/>
        <v>5</v>
      </c>
      <c r="Y203" s="172">
        <f t="shared" si="51"/>
        <v>5</v>
      </c>
      <c r="Z203" s="172">
        <f t="shared" si="51"/>
        <v>5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4</v>
      </c>
      <c r="D212" s="172">
        <f t="shared" ref="D212:Z213" si="52">D201+D204+D206+D208</f>
        <v>4</v>
      </c>
      <c r="E212" s="172">
        <f t="shared" si="52"/>
        <v>4</v>
      </c>
      <c r="F212" s="172">
        <f t="shared" si="52"/>
        <v>4</v>
      </c>
      <c r="G212" s="172">
        <f t="shared" si="52"/>
        <v>5</v>
      </c>
      <c r="H212" s="172">
        <f t="shared" si="52"/>
        <v>9</v>
      </c>
      <c r="I212" s="172">
        <f t="shared" si="52"/>
        <v>9</v>
      </c>
      <c r="J212" s="172">
        <f t="shared" si="52"/>
        <v>9</v>
      </c>
      <c r="K212" s="172">
        <f t="shared" si="52"/>
        <v>9</v>
      </c>
      <c r="L212" s="172">
        <f t="shared" si="52"/>
        <v>9</v>
      </c>
      <c r="M212" s="172">
        <f t="shared" si="52"/>
        <v>7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7</v>
      </c>
      <c r="V212" s="172">
        <f t="shared" si="52"/>
        <v>9</v>
      </c>
      <c r="W212" s="172">
        <f t="shared" si="52"/>
        <v>5</v>
      </c>
      <c r="X212" s="172">
        <f t="shared" si="52"/>
        <v>5</v>
      </c>
      <c r="Y212" s="172">
        <f t="shared" si="52"/>
        <v>5</v>
      </c>
      <c r="Z212" s="172">
        <f t="shared" si="52"/>
        <v>5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4</v>
      </c>
      <c r="D214" s="172">
        <f t="shared" ref="D214:Z214" si="53">D212+D213</f>
        <v>4</v>
      </c>
      <c r="E214" s="172">
        <f t="shared" si="53"/>
        <v>4</v>
      </c>
      <c r="F214" s="172">
        <f t="shared" si="53"/>
        <v>4</v>
      </c>
      <c r="G214" s="172">
        <f t="shared" si="53"/>
        <v>5</v>
      </c>
      <c r="H214" s="172">
        <f t="shared" si="53"/>
        <v>9</v>
      </c>
      <c r="I214" s="172">
        <f t="shared" si="53"/>
        <v>9</v>
      </c>
      <c r="J214" s="172">
        <f t="shared" si="53"/>
        <v>9</v>
      </c>
      <c r="K214" s="172">
        <f t="shared" si="53"/>
        <v>9</v>
      </c>
      <c r="L214" s="172">
        <f t="shared" si="53"/>
        <v>9</v>
      </c>
      <c r="M214" s="172">
        <f t="shared" si="53"/>
        <v>7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7</v>
      </c>
      <c r="V214" s="172">
        <f t="shared" si="53"/>
        <v>9</v>
      </c>
      <c r="W214" s="172">
        <f t="shared" si="53"/>
        <v>5</v>
      </c>
      <c r="X214" s="172">
        <f t="shared" si="53"/>
        <v>5</v>
      </c>
      <c r="Y214" s="172">
        <f t="shared" si="53"/>
        <v>5</v>
      </c>
      <c r="Z214" s="172">
        <f t="shared" si="53"/>
        <v>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1092</v>
      </c>
      <c r="G5" s="172">
        <f>AV117</f>
        <v>56</v>
      </c>
      <c r="H5" s="172">
        <f t="shared" ref="H5:AD5" si="0">AW117</f>
        <v>56</v>
      </c>
      <c r="I5" s="172">
        <f t="shared" si="0"/>
        <v>56</v>
      </c>
      <c r="J5" s="172">
        <f t="shared" si="0"/>
        <v>56</v>
      </c>
      <c r="K5" s="172">
        <f t="shared" si="0"/>
        <v>56</v>
      </c>
      <c r="L5" s="172">
        <f t="shared" si="0"/>
        <v>84</v>
      </c>
      <c r="M5" s="172">
        <f t="shared" si="0"/>
        <v>84</v>
      </c>
      <c r="N5" s="172">
        <f t="shared" si="0"/>
        <v>84</v>
      </c>
      <c r="O5" s="172">
        <f t="shared" si="0"/>
        <v>84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70</v>
      </c>
      <c r="AA5" s="172">
        <f t="shared" si="0"/>
        <v>56</v>
      </c>
      <c r="AB5" s="172">
        <f t="shared" si="0"/>
        <v>56</v>
      </c>
      <c r="AC5" s="172">
        <f t="shared" si="0"/>
        <v>56</v>
      </c>
      <c r="AD5" s="172">
        <f t="shared" si="0"/>
        <v>56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134.4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8.75</v>
      </c>
      <c r="R6" s="172">
        <f t="shared" si="2"/>
        <v>8.75</v>
      </c>
      <c r="S6" s="172">
        <f t="shared" si="2"/>
        <v>8.75</v>
      </c>
      <c r="T6" s="172">
        <f t="shared" si="2"/>
        <v>8.75</v>
      </c>
      <c r="U6" s="172">
        <f t="shared" si="2"/>
        <v>8.75</v>
      </c>
      <c r="V6" s="172">
        <f t="shared" si="2"/>
        <v>8.75</v>
      </c>
      <c r="W6" s="172">
        <f t="shared" si="2"/>
        <v>8.75</v>
      </c>
      <c r="X6" s="172">
        <f t="shared" si="2"/>
        <v>8.75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2678.8500869565228</v>
      </c>
      <c r="G13" s="30">
        <f>SUM(G5:G11)</f>
        <v>149.90773913043478</v>
      </c>
      <c r="H13" s="30">
        <f t="shared" ref="H13:AD13" si="8">SUM(H5:H11)</f>
        <v>149.81521739130434</v>
      </c>
      <c r="I13" s="30">
        <f t="shared" si="8"/>
        <v>149.72269565217391</v>
      </c>
      <c r="J13" s="30">
        <f t="shared" si="8"/>
        <v>149.67643478260868</v>
      </c>
      <c r="K13" s="30">
        <f t="shared" si="8"/>
        <v>149.63017391304348</v>
      </c>
      <c r="L13" s="30">
        <f t="shared" si="8"/>
        <v>156.58391304347828</v>
      </c>
      <c r="M13" s="30">
        <f t="shared" si="8"/>
        <v>140.78765217391305</v>
      </c>
      <c r="N13" s="30">
        <f t="shared" si="8"/>
        <v>140.74139130434781</v>
      </c>
      <c r="O13" s="30">
        <f t="shared" si="8"/>
        <v>161.64886956521738</v>
      </c>
      <c r="P13" s="30">
        <f t="shared" si="8"/>
        <v>105.83391304347826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98.833913043478262</v>
      </c>
      <c r="Z13" s="30">
        <f t="shared" si="8"/>
        <v>139.26104347826089</v>
      </c>
      <c r="AA13" s="30">
        <f t="shared" si="8"/>
        <v>153.26104347826089</v>
      </c>
      <c r="AB13" s="30">
        <f t="shared" si="8"/>
        <v>155.15773913043478</v>
      </c>
      <c r="AC13" s="30">
        <f t="shared" si="8"/>
        <v>149.90773913043478</v>
      </c>
      <c r="AD13" s="30">
        <f t="shared" si="8"/>
        <v>149.90773913043478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1</v>
      </c>
      <c r="C16" s="189">
        <f>VALUE(LEFT(Scénario!K57,1))</f>
        <v>4</v>
      </c>
      <c r="D16" s="189">
        <f>IF(B16&gt;0,VLOOKUP(C16,[1]Trav!$A$86:$D$90,4),0)</f>
        <v>112</v>
      </c>
      <c r="E16" s="189">
        <f>Scénario!K54*2</f>
        <v>6</v>
      </c>
      <c r="F16" s="172">
        <f>IF(B16&gt;0,D16*E16/B16,0)</f>
        <v>672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1</v>
      </c>
      <c r="D17" s="189">
        <f>IF(B17&gt;0,VLOOKUP(C17,[1]Trav!$A$86:$D$90,4),0)</f>
        <v>0</v>
      </c>
      <c r="E17" s="189">
        <f>Scénario!K61*2</f>
        <v>8</v>
      </c>
      <c r="F17" s="172">
        <f t="shared" ref="F17:F18" si="15"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1</v>
      </c>
      <c r="AW38" s="172">
        <f>IF(CdTrp1!C53=1,3,IF(CdTrp1!C53=0.5,2,IF(CdTrp1!C53=0,1,0)))</f>
        <v>1</v>
      </c>
      <c r="AX38" s="172">
        <f>IF(CdTrp1!D53=1,3,IF(CdTrp1!D53=0.5,2,IF(CdTrp1!D53=0,1,0)))</f>
        <v>1</v>
      </c>
      <c r="AY38" s="172">
        <f>IF(CdTrp1!E53=1,3,IF(CdTrp1!E53=0.5,2,IF(CdTrp1!E53=0,1,0)))</f>
        <v>1</v>
      </c>
      <c r="AZ38" s="172">
        <f>IF(CdTrp1!F53=1,3,IF(CdTrp1!F53=0.5,2,IF(CdTrp1!F53=0,1,0)))</f>
        <v>1</v>
      </c>
      <c r="BA38" s="172">
        <f>IF(CdTrp1!G53=1,3,IF(CdTrp1!G53=0.5,2,IF(CdTrp1!G53=0,1,0)))</f>
        <v>1</v>
      </c>
      <c r="BB38" s="172">
        <f>IF(CdTrp1!H53=1,3,IF(CdTrp1!H53=0.5,2,IF(CdTrp1!H53=0,1,0)))</f>
        <v>1</v>
      </c>
      <c r="BC38" s="172">
        <f>IF(CdTrp1!I53=1,3,IF(CdTrp1!I53=0.5,2,IF(CdTrp1!I53=0,1,0)))</f>
        <v>1</v>
      </c>
      <c r="BD38" s="172">
        <f>IF(CdTrp1!J53=1,3,IF(CdTrp1!J53=0.5,2,IF(CdTrp1!J53=0,1,0)))</f>
        <v>1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1</v>
      </c>
      <c r="BP38" s="172">
        <f>IF(CdTrp1!V53=1,3,IF(CdTrp1!V53=0.5,2,IF(CdTrp1!V53=0,1,0)))</f>
        <v>1</v>
      </c>
      <c r="BQ38" s="172">
        <f>IF(CdTrp1!W53=1,3,IF(CdTrp1!W53=0.5,2,IF(CdTrp1!W53=0,1,0)))</f>
        <v>1</v>
      </c>
      <c r="BR38" s="172">
        <f>IF(CdTrp1!X53=1,3,IF(CdTrp1!X53=0.5,2,IF(CdTrp1!X53=0,1,0)))</f>
        <v>1</v>
      </c>
      <c r="BS38" s="172">
        <f>IF(CdTrp1!Y53=1,3,IF(CdTrp1!Y53=0.5,2,IF(CdTrp1!Y53=0,1,0)))</f>
        <v>1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2</v>
      </c>
      <c r="BB39" s="172">
        <f>IF(CdTrp1!H54=1,3,IF(CdTrp1!H54=0.5,2,IF(CdTrp1!H54=0,1,0)))</f>
        <v>2</v>
      </c>
      <c r="BC39" s="172">
        <f>IF(CdTrp1!I54=1,3,IF(CdTrp1!I54=0.5,2,IF(CdTrp1!I54=0,1,0)))</f>
        <v>2</v>
      </c>
      <c r="BD39" s="172">
        <f>IF(CdTrp1!J54=1,3,IF(CdTrp1!J54=0.5,2,IF(CdTrp1!J54=0,1,0)))</f>
        <v>2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2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1</v>
      </c>
      <c r="AW40" s="172">
        <f>IF(CdTrp1!C55=1,3,IF(CdTrp1!C55=0.5,2,IF(CdTrp1!C55=0,1,0)))</f>
        <v>1</v>
      </c>
      <c r="AX40" s="172">
        <f>IF(CdTrp1!D55=1,3,IF(CdTrp1!D55=0.5,2,IF(CdTrp1!D55=0,1,0)))</f>
        <v>1</v>
      </c>
      <c r="AY40" s="172">
        <f>IF(CdTrp1!E55=1,3,IF(CdTrp1!E55=0.5,2,IF(CdTrp1!E55=0,1,0)))</f>
        <v>1</v>
      </c>
      <c r="AZ40" s="172">
        <f>IF(CdTrp1!F55=1,3,IF(CdTrp1!F55=0.5,2,IF(CdTrp1!F55=0,1,0)))</f>
        <v>1</v>
      </c>
      <c r="BA40" s="172">
        <f>IF(CdTrp1!G55=1,3,IF(CdTrp1!G55=0.5,2,IF(CdTrp1!G55=0,1,0)))</f>
        <v>1</v>
      </c>
      <c r="BB40" s="172">
        <f>IF(CdTrp1!H55=1,3,IF(CdTrp1!H55=0.5,2,IF(CdTrp1!H55=0,1,0)))</f>
        <v>1</v>
      </c>
      <c r="BC40" s="172">
        <f>IF(CdTrp1!I55=1,3,IF(CdTrp1!I55=0.5,2,IF(CdTrp1!I55=0,1,0)))</f>
        <v>1</v>
      </c>
      <c r="BD40" s="172">
        <f>IF(CdTrp1!J55=1,3,IF(CdTrp1!J55=0.5,2,IF(CdTrp1!J55=0,1,0)))</f>
        <v>1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1</v>
      </c>
      <c r="BP40" s="172">
        <f>IF(CdTrp1!V55=1,3,IF(CdTrp1!V55=0.5,2,IF(CdTrp1!V55=0,1,0)))</f>
        <v>1</v>
      </c>
      <c r="BQ40" s="172">
        <f>IF(CdTrp1!W55=1,3,IF(CdTrp1!W55=0.5,2,IF(CdTrp1!W55=0,1,0)))</f>
        <v>1</v>
      </c>
      <c r="BR40" s="172">
        <f>IF(CdTrp1!X55=1,3,IF(CdTrp1!X55=0.5,2,IF(CdTrp1!X55=0,1,0)))</f>
        <v>1</v>
      </c>
      <c r="BS40" s="172">
        <f>IF(CdTrp1!Y55=1,3,IF(CdTrp1!Y55=0.5,2,IF(CdTrp1!Y55=0,1,0)))</f>
        <v>1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0</v>
      </c>
      <c r="CM48" s="172">
        <f>IF(CdTrp2!M76=1,1,IF(CdTrp2!M76=2,2,IF(CdTrp2!M76=3,2,0)))</f>
        <v>0</v>
      </c>
      <c r="CN48" s="172">
        <f>IF(CdTrp2!N76=1,1,IF(CdTrp2!N76=2,2,IF(CdTrp2!N76=3,2,0)))</f>
        <v>0</v>
      </c>
      <c r="CO48" s="172">
        <f>IF(CdTrp2!O76=1,1,IF(CdTrp2!O76=2,2,IF(CdTrp2!O76=3,2,0)))</f>
        <v>0</v>
      </c>
      <c r="CP48" s="172">
        <f>IF(CdTrp2!P76=1,1,IF(CdTrp2!P76=2,2,IF(CdTrp2!P76=3,2,0)))</f>
        <v>0</v>
      </c>
      <c r="CQ48" s="172">
        <f>IF(CdTrp2!Q76=1,1,IF(CdTrp2!Q76=2,2,IF(CdTrp2!Q76=3,2,0)))</f>
        <v>0</v>
      </c>
      <c r="CR48" s="172">
        <f>IF(CdTrp2!R76=1,1,IF(CdTrp2!R76=2,2,IF(CdTrp2!R76=3,2,0)))</f>
        <v>0</v>
      </c>
      <c r="CS48" s="172">
        <f>IF(CdTrp2!S76=1,1,IF(CdTrp2!S76=2,2,IF(CdTrp2!S76=3,2,0)))</f>
        <v>0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2</v>
      </c>
      <c r="AW49" s="172">
        <f>IF(CdTrp1!C77=1,1,IF(CdTrp1!C77=2,2,IF(CdTrp1!C77=3,2,0)))</f>
        <v>2</v>
      </c>
      <c r="AX49" s="172">
        <f>IF(CdTrp1!D77=1,1,IF(CdTrp1!D77=2,2,IF(CdTrp1!D77=3,2,0)))</f>
        <v>2</v>
      </c>
      <c r="AY49" s="172">
        <f>IF(CdTrp1!E77=1,1,IF(CdTrp1!E77=2,2,IF(CdTrp1!E77=3,2,0)))</f>
        <v>2</v>
      </c>
      <c r="AZ49" s="172">
        <f>IF(CdTrp1!F77=1,1,IF(CdTrp1!F77=2,2,IF(CdTrp1!F77=3,2,0)))</f>
        <v>2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2</v>
      </c>
      <c r="BF49" s="172">
        <f>IF(CdTrp1!L77=1,1,IF(CdTrp1!L77=2,2,IF(CdTrp1!L77=3,2,0)))</f>
        <v>2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2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2</v>
      </c>
      <c r="BS49" s="172">
        <f>IF(CdTrp1!Y77=1,1,IF(CdTrp1!Y77=2,2,IF(CdTrp1!Y77=3,2,0)))</f>
        <v>2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1</v>
      </c>
      <c r="BB50" s="172">
        <f>IF(CdTrp1!H78=1,1,IF(CdTrp1!H78=2,2,IF(CdTrp1!H78=3,2,0)))</f>
        <v>1</v>
      </c>
      <c r="BC50" s="172">
        <f>IF(CdTrp1!I78=1,1,IF(CdTrp1!I78=2,2,IF(CdTrp1!I78=3,2,0)))</f>
        <v>1</v>
      </c>
      <c r="BD50" s="172">
        <f>IF(CdTrp1!J78=1,1,IF(CdTrp1!J78=2,2,IF(CdTrp1!J78=3,2,0)))</f>
        <v>1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1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2</v>
      </c>
      <c r="AW51" s="172">
        <f>IF(CdTrp1!C79=1,1,IF(CdTrp1!C79=2,2,IF(CdTrp1!C79=3,2,0)))</f>
        <v>2</v>
      </c>
      <c r="AX51" s="172">
        <f>IF(CdTrp1!D79=1,1,IF(CdTrp1!D79=2,2,IF(CdTrp1!D79=3,2,0)))</f>
        <v>2</v>
      </c>
      <c r="AY51" s="172">
        <f>IF(CdTrp1!E79=1,1,IF(CdTrp1!E79=2,2,IF(CdTrp1!E79=3,2,0)))</f>
        <v>2</v>
      </c>
      <c r="AZ51" s="172">
        <f>IF(CdTrp1!F79=1,1,IF(CdTrp1!F79=2,2,IF(CdTrp1!F79=3,2,0)))</f>
        <v>2</v>
      </c>
      <c r="BA51" s="172">
        <f>IF(CdTrp1!G79=1,1,IF(CdTrp1!G79=2,2,IF(CdTrp1!G79=3,2,0)))</f>
        <v>2</v>
      </c>
      <c r="BB51" s="172">
        <f>IF(CdTrp1!H79=1,1,IF(CdTrp1!H79=2,2,IF(CdTrp1!H79=3,2,0)))</f>
        <v>2</v>
      </c>
      <c r="BC51" s="172">
        <f>IF(CdTrp1!I79=1,1,IF(CdTrp1!I79=2,2,IF(CdTrp1!I79=3,2,0)))</f>
        <v>2</v>
      </c>
      <c r="BD51" s="172">
        <f>IF(CdTrp1!J79=1,1,IF(CdTrp1!J79=2,2,IF(CdTrp1!J79=3,2,0)))</f>
        <v>2</v>
      </c>
      <c r="BE51" s="172">
        <f>IF(CdTrp1!K79=1,1,IF(CdTrp1!K79=2,2,IF(CdTrp1!K79=3,2,0)))</f>
        <v>2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2</v>
      </c>
      <c r="BP51" s="172">
        <f>IF(CdTrp1!V79=1,1,IF(CdTrp1!V79=2,2,IF(CdTrp1!V79=3,2,0)))</f>
        <v>2</v>
      </c>
      <c r="BQ51" s="172">
        <f>IF(CdTrp1!W79=1,1,IF(CdTrp1!W79=2,2,IF(CdTrp1!W79=3,2,0)))</f>
        <v>2</v>
      </c>
      <c r="BR51" s="172">
        <f>IF(CdTrp1!X79=1,1,IF(CdTrp1!X79=2,2,IF(CdTrp1!X79=3,2,0)))</f>
        <v>2</v>
      </c>
      <c r="BS51" s="172">
        <f>IF(CdTrp1!Y79=1,1,IF(CdTrp1!Y79=2,2,IF(CdTrp1!Y79=3,2,0)))</f>
        <v>2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19.98</v>
      </c>
      <c r="C55" s="189">
        <f>IF(B55&gt;[1]Trav!E121,[1]Trav!C121,[1]Trav!B121)</f>
        <v>7.2</v>
      </c>
      <c r="D55"/>
      <c r="E55" s="171"/>
      <c r="F55" s="172">
        <f t="shared" si="32"/>
        <v>144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12.100000000000001</v>
      </c>
      <c r="C56" s="189">
        <f>IF(B56&gt;[1]Trav!E121,[1]Trav!C121,[1]Trav!B121)</f>
        <v>7.2</v>
      </c>
      <c r="D56"/>
      <c r="E56" s="171"/>
      <c r="F56" s="172">
        <f t="shared" si="32"/>
        <v>87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2.2199999999999989</v>
      </c>
      <c r="C58" s="189">
        <f>IF(B58&gt;[1]Trav!E122,[1]Trav!C122,[1]Trav!B122)</f>
        <v>4.4000000000000004</v>
      </c>
      <c r="E58" s="171"/>
      <c r="F58" s="172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210</v>
      </c>
      <c r="CM60" s="172">
        <f>IF(CM15=0,0,IF(CM37=3,0,VALUE(CONCATENATE(Travail!CM26,Travail!CM37,Travail!CM48))))</f>
        <v>210</v>
      </c>
      <c r="CN60" s="172">
        <f>IF(CN15=0,0,IF(CN37=3,0,VALUE(CONCATENATE(Travail!CN26,Travail!CN37,Travail!CN48))))</f>
        <v>210</v>
      </c>
      <c r="CO60" s="172">
        <f>IF(CO15=0,0,IF(CO37=3,0,VALUE(CONCATENATE(Travail!CO26,Travail!CO37,Travail!CO48))))</f>
        <v>210</v>
      </c>
      <c r="CP60" s="172">
        <f>IF(CP15=0,0,IF(CP37=3,0,VALUE(CONCATENATE(Travail!CP26,Travail!CP37,Travail!CP48))))</f>
        <v>210</v>
      </c>
      <c r="CQ60" s="172">
        <f>IF(CQ15=0,0,IF(CQ37=3,0,VALUE(CONCATENATE(Travail!CQ26,Travail!CQ37,Travail!CQ48))))</f>
        <v>210</v>
      </c>
      <c r="CR60" s="172">
        <f>IF(CR15=0,0,IF(CR37=3,0,VALUE(CONCATENATE(Travail!CR26,Travail!CR37,Travail!CR48))))</f>
        <v>210</v>
      </c>
      <c r="CS60" s="172">
        <f>IF(CS15=0,0,IF(CS37=3,0,VALUE(CONCATENATE(Travail!CS26,Travail!CS37,Travail!CS48))))</f>
        <v>210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212</v>
      </c>
      <c r="AW61" s="172">
        <f>IF(AW16=0,0,IF(AW38=3,0,VALUE(CONCATENATE(Travail!AW27,Travail!AW38,Travail!AW49))))</f>
        <v>212</v>
      </c>
      <c r="AX61" s="172">
        <f>IF(AX16=0,0,IF(AX38=3,0,VALUE(CONCATENATE(Travail!AX27,Travail!AX38,Travail!AX49))))</f>
        <v>212</v>
      </c>
      <c r="AY61" s="172">
        <f>IF(AY16=0,0,IF(AY38=3,0,VALUE(CONCATENATE(Travail!AY27,Travail!AY38,Travail!AY49))))</f>
        <v>212</v>
      </c>
      <c r="AZ61" s="172">
        <f>IF(AZ16=0,0,IF(AZ38=3,0,VALUE(CONCATENATE(Travail!AZ27,Travail!AZ38,Travail!AZ49))))</f>
        <v>212</v>
      </c>
      <c r="BA61" s="172">
        <f>IF(BA16=0,0,IF(BA38=3,0,VALUE(CONCATENATE(Travail!BA27,Travail!BA38,Travail!BA49))))</f>
        <v>212</v>
      </c>
      <c r="BB61" s="172">
        <f>IF(BB16=0,0,IF(BB38=3,0,VALUE(CONCATENATE(Travail!BB27,Travail!BB38,Travail!BB49))))</f>
        <v>212</v>
      </c>
      <c r="BC61" s="172">
        <f>IF(BC16=0,0,IF(BC38=3,0,VALUE(CONCATENATE(Travail!BC27,Travail!BC38,Travail!BC49))))</f>
        <v>212</v>
      </c>
      <c r="BD61" s="172">
        <f>IF(BD16=0,0,IF(BD38=3,0,VALUE(CONCATENATE(Travail!BD27,Travail!BD38,Travail!BD49))))</f>
        <v>212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212</v>
      </c>
      <c r="BP61" s="172">
        <f>IF(BP16=0,0,IF(BP38=3,0,VALUE(CONCATENATE(Travail!BP27,Travail!BP38,Travail!BP49))))</f>
        <v>212</v>
      </c>
      <c r="BQ61" s="172">
        <f>IF(BQ16=0,0,IF(BQ38=3,0,VALUE(CONCATENATE(Travail!BQ27,Travail!BQ38,Travail!BQ49))))</f>
        <v>212</v>
      </c>
      <c r="BR61" s="172">
        <f>IF(BR16=0,0,IF(BR38=3,0,VALUE(CONCATENATE(Travail!BR27,Travail!BR38,Travail!BR49))))</f>
        <v>212</v>
      </c>
      <c r="BS61" s="172">
        <f>IF(BS16=0,0,IF(BS38=3,0,VALUE(CONCATENATE(Travail!BS27,Travail!BS38,Travail!BS49))))</f>
        <v>212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221</v>
      </c>
      <c r="BB62" s="172">
        <f>IF(BB17=0,0,IF(BB39=3,0,VALUE(CONCATENATE(Travail!BB28,Travail!BB39,Travail!BB50))))</f>
        <v>221</v>
      </c>
      <c r="BC62" s="172">
        <f>IF(BC17=0,0,IF(BC39=3,0,VALUE(CONCATENATE(Travail!BC28,Travail!BC39,Travail!BC50))))</f>
        <v>221</v>
      </c>
      <c r="BD62" s="172">
        <f>IF(BD17=0,0,IF(BD39=3,0,VALUE(CONCATENATE(Travail!BD28,Travail!BD39,Travail!BD50))))</f>
        <v>221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212</v>
      </c>
      <c r="AW63" s="172">
        <f>IF(AW18=0,0,IF(AW40=3,0,VALUE(CONCATENATE(Travail!AW29,Travail!AW40,Travail!AW51))))</f>
        <v>212</v>
      </c>
      <c r="AX63" s="172">
        <f>IF(AX18=0,0,IF(AX40=3,0,VALUE(CONCATENATE(Travail!AX29,Travail!AX40,Travail!AX51))))</f>
        <v>212</v>
      </c>
      <c r="AY63" s="172">
        <f>IF(AY18=0,0,IF(AY40=3,0,VALUE(CONCATENATE(Travail!AY29,Travail!AY40,Travail!AY51))))</f>
        <v>212</v>
      </c>
      <c r="AZ63" s="172">
        <f>IF(AZ18=0,0,IF(AZ40=3,0,VALUE(CONCATENATE(Travail!AZ29,Travail!AZ40,Travail!AZ51))))</f>
        <v>212</v>
      </c>
      <c r="BA63" s="172">
        <f>IF(BA18=0,0,IF(BA40=3,0,VALUE(CONCATENATE(Travail!BA29,Travail!BA40,Travail!BA51))))</f>
        <v>212</v>
      </c>
      <c r="BB63" s="172">
        <f>IF(BB18=0,0,IF(BB40=3,0,VALUE(CONCATENATE(Travail!BB29,Travail!BB40,Travail!BB51))))</f>
        <v>212</v>
      </c>
      <c r="BC63" s="172">
        <f>IF(BC18=0,0,IF(BC40=3,0,VALUE(CONCATENATE(Travail!BC29,Travail!BC40,Travail!BC51))))</f>
        <v>212</v>
      </c>
      <c r="BD63" s="172">
        <f>IF(BD18=0,0,IF(BD40=3,0,VALUE(CONCATENATE(Travail!BD29,Travail!BD40,Travail!BD51))))</f>
        <v>212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212</v>
      </c>
      <c r="BP63" s="172">
        <f>IF(BP18=0,0,IF(BP40=3,0,VALUE(CONCATENATE(Travail!BP29,Travail!BP40,Travail!BP51))))</f>
        <v>212</v>
      </c>
      <c r="BQ63" s="172">
        <f>IF(BQ18=0,0,IF(BQ40=3,0,VALUE(CONCATENATE(Travail!BQ29,Travail!BQ40,Travail!BQ51))))</f>
        <v>212</v>
      </c>
      <c r="BR63" s="172">
        <f>IF(BR18=0,0,IF(BR40=3,0,VALUE(CONCATENATE(Travail!BR29,Travail!BR40,Travail!BR51))))</f>
        <v>212</v>
      </c>
      <c r="BS63" s="172">
        <f>IF(BS18=0,0,IF(BS40=3,0,VALUE(CONCATENATE(Travail!BS29,Travail!BS40,Travail!BS51))))</f>
        <v>212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275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10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20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15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15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20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21</v>
      </c>
      <c r="AW72" s="172">
        <f t="shared" si="36"/>
        <v>21</v>
      </c>
      <c r="AX72" s="172">
        <f t="shared" si="36"/>
        <v>21</v>
      </c>
      <c r="AY72" s="172">
        <f t="shared" si="36"/>
        <v>21</v>
      </c>
      <c r="AZ72" s="172">
        <f t="shared" si="36"/>
        <v>21</v>
      </c>
      <c r="BA72" s="172">
        <f t="shared" si="36"/>
        <v>21</v>
      </c>
      <c r="BB72" s="172">
        <f t="shared" si="36"/>
        <v>21</v>
      </c>
      <c r="BC72" s="172">
        <f t="shared" si="36"/>
        <v>21</v>
      </c>
      <c r="BD72" s="172">
        <f t="shared" si="36"/>
        <v>21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21</v>
      </c>
      <c r="BP72" s="172">
        <f t="shared" si="36"/>
        <v>21</v>
      </c>
      <c r="BQ72" s="172">
        <f t="shared" si="36"/>
        <v>21</v>
      </c>
      <c r="BR72" s="172">
        <f t="shared" si="36"/>
        <v>21</v>
      </c>
      <c r="BS72" s="172">
        <f t="shared" si="36"/>
        <v>21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22</v>
      </c>
      <c r="BB73" s="172">
        <f t="shared" si="36"/>
        <v>22</v>
      </c>
      <c r="BC73" s="172">
        <f t="shared" si="36"/>
        <v>22</v>
      </c>
      <c r="BD73" s="172">
        <f t="shared" si="36"/>
        <v>22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21</v>
      </c>
      <c r="AW74" s="172">
        <f t="shared" si="36"/>
        <v>21</v>
      </c>
      <c r="AX74" s="172">
        <f t="shared" si="36"/>
        <v>21</v>
      </c>
      <c r="AY74" s="172">
        <f t="shared" si="36"/>
        <v>21</v>
      </c>
      <c r="AZ74" s="172">
        <f t="shared" si="36"/>
        <v>21</v>
      </c>
      <c r="BA74" s="172">
        <f t="shared" si="36"/>
        <v>21</v>
      </c>
      <c r="BB74" s="172">
        <f t="shared" si="36"/>
        <v>21</v>
      </c>
      <c r="BC74" s="172">
        <f t="shared" si="36"/>
        <v>21</v>
      </c>
      <c r="BD74" s="172">
        <f t="shared" si="36"/>
        <v>21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21</v>
      </c>
      <c r="BP74" s="172">
        <f t="shared" si="36"/>
        <v>21</v>
      </c>
      <c r="BQ74" s="172">
        <f t="shared" si="36"/>
        <v>21</v>
      </c>
      <c r="BR74" s="172">
        <f t="shared" si="36"/>
        <v>21</v>
      </c>
      <c r="BS74" s="172">
        <f t="shared" si="36"/>
        <v>21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182</v>
      </c>
      <c r="G75" s="197">
        <f>IF(Protection!C195=0,0,[1]Protect!$B$9*Protection!C195*14)</f>
        <v>10.5</v>
      </c>
      <c r="H75" s="197">
        <f>IF(Protection!D195=0,0,[1]Protect!$B$9*Protection!D195*14)</f>
        <v>10.5</v>
      </c>
      <c r="I75" s="197">
        <f>IF(Protection!E195=0,0,[1]Protect!$B$9*Protection!E195*14)</f>
        <v>10.5</v>
      </c>
      <c r="J75" s="197">
        <f>IF(Protection!F195=0,0,[1]Protect!$B$9*Protection!F195*14)</f>
        <v>10.5</v>
      </c>
      <c r="K75" s="197">
        <f>IF(Protection!G195=0,0,[1]Protect!$B$9*Protection!G195*14)</f>
        <v>10.5</v>
      </c>
      <c r="L75" s="197">
        <f>IF(Protection!H195=0,0,[1]Protect!$B$9*Protection!H195*14)</f>
        <v>10.5</v>
      </c>
      <c r="M75" s="197">
        <f>IF(Protection!I195=0,0,[1]Protect!$B$9*Protection!I195*14)</f>
        <v>10.5</v>
      </c>
      <c r="N75" s="197">
        <f>IF(Protection!J195=0,0,[1]Protect!$B$9*Protection!J195*14)</f>
        <v>10.5</v>
      </c>
      <c r="O75" s="197">
        <f>IF(Protection!K195=0,0,[1]Protect!$B$9*Protection!K195*14)</f>
        <v>10.5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10.5</v>
      </c>
      <c r="AA75" s="197">
        <f>IF(Protection!W195=0,0,[1]Protect!$B$9*Protection!W195*14)</f>
        <v>10.5</v>
      </c>
      <c r="AB75" s="197">
        <f>IF(Protection!X195=0,0,[1]Protect!$B$9*Protection!X195*14)</f>
        <v>10.5</v>
      </c>
      <c r="AC75" s="197">
        <f>IF(Protection!Y195=0,0,[1]Protect!$B$9*Protection!Y195*14)</f>
        <v>10.5</v>
      </c>
      <c r="AD75" s="197">
        <f>IF(Protection!Z195=0,0,[1]Protect!$B$9*Protection!Z195*14)</f>
        <v>10.5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24.5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481.5</v>
      </c>
      <c r="G77" s="45">
        <f t="shared" ref="G77:AD77" si="43">+SUM(G69:G76)</f>
        <v>20.5</v>
      </c>
      <c r="H77" s="45">
        <f t="shared" si="43"/>
        <v>20.5</v>
      </c>
      <c r="I77" s="45">
        <f t="shared" si="43"/>
        <v>20.5</v>
      </c>
      <c r="J77" s="45">
        <f t="shared" si="43"/>
        <v>20.5</v>
      </c>
      <c r="K77" s="45">
        <f t="shared" si="43"/>
        <v>20.5</v>
      </c>
      <c r="L77" s="45">
        <f t="shared" si="43"/>
        <v>30.5</v>
      </c>
      <c r="M77" s="45">
        <f t="shared" si="43"/>
        <v>30.5</v>
      </c>
      <c r="N77" s="45">
        <f t="shared" si="43"/>
        <v>30.5</v>
      </c>
      <c r="O77" s="45">
        <f t="shared" si="43"/>
        <v>30.5</v>
      </c>
      <c r="P77" s="45">
        <f t="shared" si="43"/>
        <v>23.5</v>
      </c>
      <c r="Q77" s="45">
        <f t="shared" si="43"/>
        <v>18.5</v>
      </c>
      <c r="R77" s="45">
        <f t="shared" si="43"/>
        <v>12</v>
      </c>
      <c r="S77" s="45">
        <f t="shared" si="43"/>
        <v>12</v>
      </c>
      <c r="T77" s="45">
        <f t="shared" si="43"/>
        <v>12</v>
      </c>
      <c r="U77" s="45">
        <f t="shared" si="43"/>
        <v>12</v>
      </c>
      <c r="V77" s="45">
        <f t="shared" si="43"/>
        <v>12</v>
      </c>
      <c r="W77" s="45">
        <f t="shared" si="43"/>
        <v>12</v>
      </c>
      <c r="X77" s="45">
        <f t="shared" si="43"/>
        <v>12</v>
      </c>
      <c r="Y77" s="45">
        <f t="shared" si="43"/>
        <v>18.5</v>
      </c>
      <c r="Z77" s="45">
        <f t="shared" si="43"/>
        <v>30.5</v>
      </c>
      <c r="AA77" s="45">
        <f t="shared" si="43"/>
        <v>20.5</v>
      </c>
      <c r="AB77" s="45">
        <f t="shared" si="43"/>
        <v>20.5</v>
      </c>
      <c r="AC77" s="45">
        <f t="shared" si="43"/>
        <v>20.5</v>
      </c>
      <c r="AD77" s="45">
        <f t="shared" si="43"/>
        <v>20.5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1.29</v>
      </c>
      <c r="C81" s="189">
        <f>[1]Protect!$B$10</f>
        <v>4</v>
      </c>
      <c r="D81" s="171"/>
      <c r="E81" s="171"/>
      <c r="F81" s="172">
        <f>ROUND(C81*B81*8,0)</f>
        <v>41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2</v>
      </c>
      <c r="AW81" s="172">
        <f t="shared" ref="AW81:BS81" si="44">COUNTIF(AW$71:AW$80,23)</f>
        <v>2</v>
      </c>
      <c r="AX81" s="172">
        <f t="shared" si="44"/>
        <v>2</v>
      </c>
      <c r="AY81" s="172">
        <f t="shared" si="44"/>
        <v>1</v>
      </c>
      <c r="AZ81" s="172">
        <f t="shared" si="44"/>
        <v>1</v>
      </c>
      <c r="BA81" s="172">
        <f t="shared" si="44"/>
        <v>0</v>
      </c>
      <c r="BB81" s="172">
        <f t="shared" si="44"/>
        <v>0</v>
      </c>
      <c r="BC81" s="172">
        <f t="shared" si="44"/>
        <v>0</v>
      </c>
      <c r="BD81" s="172">
        <f t="shared" si="44"/>
        <v>0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0</v>
      </c>
      <c r="BP81" s="172">
        <f t="shared" si="44"/>
        <v>1</v>
      </c>
      <c r="BQ81" s="172">
        <f t="shared" si="44"/>
        <v>2</v>
      </c>
      <c r="BR81" s="172">
        <f t="shared" si="44"/>
        <v>2</v>
      </c>
      <c r="BS81" s="172">
        <f t="shared" si="44"/>
        <v>2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7.2619999999999996</v>
      </c>
      <c r="C83" s="189">
        <f>[1]Protect!$B$24+[1]Protect!$B$26</f>
        <v>0.33</v>
      </c>
      <c r="D83" s="171"/>
      <c r="E83" s="171"/>
      <c r="F83" s="172">
        <f>ROUND(B83*C83,1)</f>
        <v>2.4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0</v>
      </c>
      <c r="AW83" s="172">
        <f t="shared" ref="AW83:BS83" si="50">COUNTIF(AW$71:AW$80,22)</f>
        <v>0</v>
      </c>
      <c r="AX83" s="172">
        <f t="shared" si="50"/>
        <v>0</v>
      </c>
      <c r="AY83" s="172">
        <f t="shared" si="50"/>
        <v>1</v>
      </c>
      <c r="AZ83" s="172">
        <f t="shared" si="50"/>
        <v>1</v>
      </c>
      <c r="BA83" s="172">
        <f t="shared" si="50"/>
        <v>2</v>
      </c>
      <c r="BB83" s="172">
        <f t="shared" si="50"/>
        <v>2</v>
      </c>
      <c r="BC83" s="172">
        <f t="shared" si="50"/>
        <v>2</v>
      </c>
      <c r="BD83" s="172">
        <f t="shared" si="50"/>
        <v>2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1</v>
      </c>
      <c r="BP83" s="172">
        <f t="shared" si="50"/>
        <v>0</v>
      </c>
      <c r="BQ83" s="172">
        <f t="shared" si="50"/>
        <v>0</v>
      </c>
      <c r="BR83" s="172">
        <f t="shared" si="50"/>
        <v>0</v>
      </c>
      <c r="BS83" s="172">
        <f t="shared" si="50"/>
        <v>0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5.8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22</v>
      </c>
      <c r="BB85" s="61">
        <f t="shared" si="56"/>
        <v>22</v>
      </c>
      <c r="BC85" s="61">
        <f t="shared" si="56"/>
        <v>22</v>
      </c>
      <c r="BD85" s="61">
        <f t="shared" si="56"/>
        <v>22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22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3</v>
      </c>
      <c r="C86" s="175"/>
      <c r="D86" s="175"/>
      <c r="E86" s="175"/>
      <c r="F86" s="172">
        <f>B86*[1]Eco!$B$108*[1]Eco!$B$109</f>
        <v>720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21</v>
      </c>
      <c r="BB86" s="189">
        <f>IF(BB85=0,0,HLOOKUP(BB85,[1]Trav!$C$39:$G$59,$AU$105))</f>
        <v>21</v>
      </c>
      <c r="BC86" s="189">
        <f>IF(BC85=0,0,HLOOKUP(BC85,[1]Trav!$C$39:$G$59,$AU$105))</f>
        <v>21</v>
      </c>
      <c r="BD86" s="189">
        <f>IF(BD85=0,0,HLOOKUP(BD85,[1]Trav!$C$39:$G$59,$AU$105))</f>
        <v>21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21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1950.8500869565219</v>
      </c>
      <c r="C91" s="5"/>
      <c r="D91" s="201">
        <f>B91/Troupeau!$B$17</f>
        <v>6.4172700228832955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0</v>
      </c>
      <c r="AW91" s="172">
        <f t="shared" si="60"/>
        <v>0</v>
      </c>
      <c r="AX91" s="172">
        <f t="shared" si="60"/>
        <v>0</v>
      </c>
      <c r="AY91" s="172">
        <f t="shared" si="60"/>
        <v>0</v>
      </c>
      <c r="AZ91" s="172">
        <f t="shared" si="60"/>
        <v>0</v>
      </c>
      <c r="BA91" s="172">
        <f t="shared" si="60"/>
        <v>0</v>
      </c>
      <c r="BB91" s="172">
        <f t="shared" si="60"/>
        <v>0</v>
      </c>
      <c r="BC91" s="172">
        <f t="shared" si="60"/>
        <v>0</v>
      </c>
      <c r="BD91" s="172">
        <f t="shared" si="60"/>
        <v>0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0</v>
      </c>
      <c r="BP91" s="172">
        <f t="shared" si="60"/>
        <v>0</v>
      </c>
      <c r="BQ91" s="172">
        <f t="shared" si="60"/>
        <v>0</v>
      </c>
      <c r="BR91" s="172">
        <f t="shared" si="60"/>
        <v>0</v>
      </c>
      <c r="BS91" s="172">
        <f t="shared" si="60"/>
        <v>0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638.4</v>
      </c>
      <c r="C92" s="5"/>
      <c r="D92" s="201">
        <f>IF(B92=0,0,B92/Troupeau!$C$17)</f>
        <v>27.756521739130434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0</v>
      </c>
      <c r="AW93" s="172">
        <f t="shared" si="60"/>
        <v>0</v>
      </c>
      <c r="AX93" s="172">
        <f t="shared" si="60"/>
        <v>0</v>
      </c>
      <c r="AY93" s="172">
        <f t="shared" si="60"/>
        <v>0</v>
      </c>
      <c r="AZ93" s="172">
        <f t="shared" si="60"/>
        <v>0</v>
      </c>
      <c r="BA93" s="172">
        <f t="shared" si="60"/>
        <v>0</v>
      </c>
      <c r="BB93" s="172">
        <f t="shared" si="60"/>
        <v>0</v>
      </c>
      <c r="BC93" s="172">
        <f t="shared" si="60"/>
        <v>0</v>
      </c>
      <c r="BD93" s="172">
        <f t="shared" si="60"/>
        <v>0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0</v>
      </c>
      <c r="BP93" s="172">
        <f t="shared" si="60"/>
        <v>0</v>
      </c>
      <c r="BQ93" s="172">
        <f t="shared" si="60"/>
        <v>0</v>
      </c>
      <c r="BR93" s="172">
        <f t="shared" si="60"/>
        <v>0</v>
      </c>
      <c r="BS93" s="172">
        <f t="shared" si="60"/>
        <v>0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2589.250086956522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672</v>
      </c>
      <c r="C95" s="5"/>
      <c r="D95" s="201">
        <f>B95/Troupeau!$B$17</f>
        <v>2.2105263157894739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672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333.07826086956521</v>
      </c>
      <c r="AW99" s="61">
        <f t="shared" ref="AW99:BS99" si="68">SUM(AW90:AW98)</f>
        <v>330.43478260869568</v>
      </c>
      <c r="AX99" s="61">
        <f t="shared" si="68"/>
        <v>327.7913043478261</v>
      </c>
      <c r="AY99" s="61">
        <f t="shared" si="68"/>
        <v>326.46956521739133</v>
      </c>
      <c r="AZ99" s="61">
        <f t="shared" si="68"/>
        <v>325.14782608695651</v>
      </c>
      <c r="BA99" s="61">
        <f t="shared" si="68"/>
        <v>323.82608695652175</v>
      </c>
      <c r="BB99" s="61">
        <f t="shared" si="68"/>
        <v>322.50434782608698</v>
      </c>
      <c r="BC99" s="61">
        <f t="shared" si="68"/>
        <v>321.18260869565216</v>
      </c>
      <c r="BD99" s="61">
        <f t="shared" si="68"/>
        <v>318.53913043478263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278.88695652173914</v>
      </c>
      <c r="BP99" s="61">
        <f t="shared" si="68"/>
        <v>278.88695652173914</v>
      </c>
      <c r="BQ99" s="61">
        <f t="shared" si="68"/>
        <v>333.07826086956521</v>
      </c>
      <c r="BR99" s="61">
        <f t="shared" si="68"/>
        <v>333.07826086956521</v>
      </c>
      <c r="BS99" s="61">
        <f t="shared" si="68"/>
        <v>333.07826086956521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6.6615652173913045</v>
      </c>
      <c r="AW100" s="172">
        <f t="shared" ref="AW100:BS100" si="71">IF($AT$2="OL",AW99/50,AW99/10)</f>
        <v>6.608695652173914</v>
      </c>
      <c r="AX100" s="172">
        <f t="shared" si="71"/>
        <v>6.5558260869565217</v>
      </c>
      <c r="AY100" s="172">
        <f t="shared" si="71"/>
        <v>6.5293913043478264</v>
      </c>
      <c r="AZ100" s="172">
        <f t="shared" si="71"/>
        <v>6.5029565217391303</v>
      </c>
      <c r="BA100" s="172">
        <f t="shared" si="71"/>
        <v>6.4765217391304351</v>
      </c>
      <c r="BB100" s="172">
        <f t="shared" si="71"/>
        <v>6.4500869565217398</v>
      </c>
      <c r="BC100" s="172">
        <f t="shared" si="71"/>
        <v>6.4236521739130437</v>
      </c>
      <c r="BD100" s="172">
        <f t="shared" si="71"/>
        <v>6.3707826086956523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5.5777391304347823</v>
      </c>
      <c r="BP100" s="172">
        <f t="shared" si="71"/>
        <v>5.5777391304347823</v>
      </c>
      <c r="BQ100" s="172">
        <f t="shared" si="71"/>
        <v>6.6615652173913045</v>
      </c>
      <c r="BR100" s="172">
        <f t="shared" si="71"/>
        <v>6.6615652173913045</v>
      </c>
      <c r="BS100" s="172">
        <f t="shared" si="71"/>
        <v>6.6615652173913045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5.6615652173913045</v>
      </c>
      <c r="AW101" s="172">
        <f t="shared" ref="AW101:BS101" si="74">IF(AW100&gt;1,AW100-1,0)</f>
        <v>5.608695652173914</v>
      </c>
      <c r="AX101" s="172">
        <f t="shared" si="74"/>
        <v>5.5558260869565217</v>
      </c>
      <c r="AY101" s="172">
        <f t="shared" si="74"/>
        <v>5.5293913043478264</v>
      </c>
      <c r="AZ101" s="172">
        <f t="shared" si="74"/>
        <v>5.5029565217391303</v>
      </c>
      <c r="BA101" s="172">
        <f t="shared" si="74"/>
        <v>5.4765217391304351</v>
      </c>
      <c r="BB101" s="172">
        <f t="shared" si="74"/>
        <v>5.4500869565217398</v>
      </c>
      <c r="BC101" s="172">
        <f t="shared" si="74"/>
        <v>5.4236521739130437</v>
      </c>
      <c r="BD101" s="172">
        <f t="shared" si="74"/>
        <v>5.3707826086956523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4.5777391304347823</v>
      </c>
      <c r="BP101" s="172">
        <f t="shared" si="74"/>
        <v>4.5777391304347823</v>
      </c>
      <c r="BQ101" s="172">
        <f t="shared" si="74"/>
        <v>5.6615652173913045</v>
      </c>
      <c r="BR101" s="172">
        <f t="shared" si="74"/>
        <v>5.6615652173913045</v>
      </c>
      <c r="BS101" s="172">
        <f t="shared" si="74"/>
        <v>5.6615652173913045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51.907739130434784</v>
      </c>
      <c r="AW102" s="61">
        <f t="shared" ref="AW102:BS102" si="77">AW86+AW87*AW101</f>
        <v>51.815217391304351</v>
      </c>
      <c r="AX102" s="61">
        <f t="shared" si="77"/>
        <v>51.722695652173911</v>
      </c>
      <c r="AY102" s="61">
        <f t="shared" si="77"/>
        <v>51.676434782608695</v>
      </c>
      <c r="AZ102" s="61">
        <f t="shared" si="77"/>
        <v>51.630173913043478</v>
      </c>
      <c r="BA102" s="61">
        <f t="shared" si="77"/>
        <v>30.583913043478262</v>
      </c>
      <c r="BB102" s="61">
        <f t="shared" si="77"/>
        <v>30.537652173913045</v>
      </c>
      <c r="BC102" s="61">
        <f t="shared" si="77"/>
        <v>30.491391304347829</v>
      </c>
      <c r="BD102" s="61">
        <f t="shared" si="77"/>
        <v>30.398869565217392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29.01104347826087</v>
      </c>
      <c r="BP102" s="61">
        <f t="shared" si="77"/>
        <v>50.011043478260873</v>
      </c>
      <c r="BQ102" s="61">
        <f t="shared" si="77"/>
        <v>51.907739130434784</v>
      </c>
      <c r="BR102" s="61">
        <f t="shared" si="77"/>
        <v>51.907739130434784</v>
      </c>
      <c r="BS102" s="61">
        <f t="shared" si="77"/>
        <v>51.907739130434784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0</v>
      </c>
      <c r="CM106" s="189">
        <f>IF(CM60&gt;0,HLOOKUP(CM60,[1]Trav!$C$11:$O$31,$CA$105),0)</f>
        <v>0</v>
      </c>
      <c r="CN106" s="189">
        <f>IF(CN60&gt;0,HLOOKUP(CN60,[1]Trav!$C$11:$O$31,$CA$105),0)</f>
        <v>0</v>
      </c>
      <c r="CO106" s="189">
        <f>IF(CO60&gt;0,HLOOKUP(CO60,[1]Trav!$C$11:$O$31,$CA$105),0)</f>
        <v>0</v>
      </c>
      <c r="CP106" s="189">
        <f>IF(CP60&gt;0,HLOOKUP(CP60,[1]Trav!$C$11:$O$31,$CA$105),0)</f>
        <v>0</v>
      </c>
      <c r="CQ106" s="189">
        <f>IF(CQ60&gt;0,HLOOKUP(CQ60,[1]Trav!$C$11:$O$31,$CA$105),0)</f>
        <v>0</v>
      </c>
      <c r="CR106" s="189">
        <f>IF(CR60&gt;0,HLOOKUP(CR60,[1]Trav!$C$11:$O$31,$CA$105),0)</f>
        <v>0</v>
      </c>
      <c r="CS106" s="189">
        <f>IF(CS60&gt;0,HLOOKUP(CS60,[1]Trav!$C$11:$O$31,$CA$105),0)</f>
        <v>0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28</v>
      </c>
      <c r="AW107" s="189">
        <f>IF(AW61&gt;0,HLOOKUP(AW61,[1]Trav!$C$11:$O$31,$AU$105),0)</f>
        <v>28</v>
      </c>
      <c r="AX107" s="189">
        <f>IF(AX61&gt;0,HLOOKUP(AX61,[1]Trav!$C$11:$O$31,$AU$105),0)</f>
        <v>28</v>
      </c>
      <c r="AY107" s="189">
        <f>IF(AY61&gt;0,HLOOKUP(AY61,[1]Trav!$C$11:$O$31,$AU$105),0)</f>
        <v>28</v>
      </c>
      <c r="AZ107" s="189">
        <f>IF(AZ61&gt;0,HLOOKUP(AZ61,[1]Trav!$C$11:$O$31,$AU$105),0)</f>
        <v>28</v>
      </c>
      <c r="BA107" s="189">
        <f>IF(BA61&gt;0,HLOOKUP(BA61,[1]Trav!$C$11:$O$31,$AU$105),0)</f>
        <v>28</v>
      </c>
      <c r="BB107" s="189">
        <f>IF(BB61&gt;0,HLOOKUP(BB61,[1]Trav!$C$11:$O$31,$AU$105),0)</f>
        <v>28</v>
      </c>
      <c r="BC107" s="189">
        <f>IF(BC61&gt;0,HLOOKUP(BC61,[1]Trav!$C$11:$O$31,$AU$105),0)</f>
        <v>28</v>
      </c>
      <c r="BD107" s="189">
        <f>IF(BD61&gt;0,HLOOKUP(BD61,[1]Trav!$C$11:$O$31,$AU$105),0)</f>
        <v>28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28</v>
      </c>
      <c r="BP107" s="189">
        <f>IF(BP61&gt;0,HLOOKUP(BP61,[1]Trav!$C$11:$O$31,$AU$105),0)</f>
        <v>28</v>
      </c>
      <c r="BQ107" s="189">
        <f>IF(BQ61&gt;0,HLOOKUP(BQ61,[1]Trav!$C$11:$O$31,$AU$105),0)</f>
        <v>28</v>
      </c>
      <c r="BR107" s="189">
        <f>IF(BR61&gt;0,HLOOKUP(BR61,[1]Trav!$C$11:$O$31,$AU$105),0)</f>
        <v>28</v>
      </c>
      <c r="BS107" s="189">
        <f>IF(BS61&gt;0,HLOOKUP(BS61,[1]Trav!$C$11:$O$31,$AU$105),0)</f>
        <v>28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308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14</v>
      </c>
      <c r="BB108" s="189">
        <f>IF(BB62&gt;0,HLOOKUP(BB62,[1]Trav!$C$11:$O$31,$AU$105),0)</f>
        <v>14</v>
      </c>
      <c r="BC108" s="189">
        <f>IF(BC62&gt;0,HLOOKUP(BC62,[1]Trav!$C$11:$O$31,$AU$105),0)</f>
        <v>14</v>
      </c>
      <c r="BD108" s="189">
        <f>IF(BD62&gt;0,HLOOKUP(BD62,[1]Trav!$C$11:$O$31,$AU$105),0)</f>
        <v>14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275</v>
      </c>
      <c r="D109" s="196"/>
      <c r="AT109" s="188" t="str">
        <f t="shared" si="80"/>
        <v>beliers</v>
      </c>
      <c r="AV109" s="189">
        <f>IF(AV63&gt;0,HLOOKUP(AV63,[1]Trav!$C$11:$O$31,$AU$105),0)</f>
        <v>28</v>
      </c>
      <c r="AW109" s="189">
        <f>IF(AW63&gt;0,HLOOKUP(AW63,[1]Trav!$C$11:$O$31,$AU$105),0)</f>
        <v>28</v>
      </c>
      <c r="AX109" s="189">
        <f>IF(AX63&gt;0,HLOOKUP(AX63,[1]Trav!$C$11:$O$31,$AU$105),0)</f>
        <v>28</v>
      </c>
      <c r="AY109" s="189">
        <f>IF(AY63&gt;0,HLOOKUP(AY63,[1]Trav!$C$11:$O$31,$AU$105),0)</f>
        <v>28</v>
      </c>
      <c r="AZ109" s="189">
        <f>IF(AZ63&gt;0,HLOOKUP(AZ63,[1]Trav!$C$11:$O$31,$AU$105),0)</f>
        <v>28</v>
      </c>
      <c r="BA109" s="189">
        <f>IF(BA63&gt;0,HLOOKUP(BA63,[1]Trav!$C$11:$O$31,$AU$105),0)</f>
        <v>28</v>
      </c>
      <c r="BB109" s="189">
        <f>IF(BB63&gt;0,HLOOKUP(BB63,[1]Trav!$C$11:$O$31,$AU$105),0)</f>
        <v>28</v>
      </c>
      <c r="BC109" s="189">
        <f>IF(BC63&gt;0,HLOOKUP(BC63,[1]Trav!$C$11:$O$31,$AU$105),0)</f>
        <v>28</v>
      </c>
      <c r="BD109" s="189">
        <f>IF(BD63&gt;0,HLOOKUP(BD63,[1]Trav!$C$11:$O$31,$AU$105),0)</f>
        <v>28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28</v>
      </c>
      <c r="BP109" s="189">
        <f>IF(BP63&gt;0,HLOOKUP(BP63,[1]Trav!$C$11:$O$31,$AU$105),0)</f>
        <v>28</v>
      </c>
      <c r="BQ109" s="189">
        <f>IF(BQ63&gt;0,HLOOKUP(BQ63,[1]Trav!$C$11:$O$31,$AU$105),0)</f>
        <v>28</v>
      </c>
      <c r="BR109" s="189">
        <f>IF(BR63&gt;0,HLOOKUP(BR63,[1]Trav!$C$11:$O$31,$AU$105),0)</f>
        <v>28</v>
      </c>
      <c r="BS109" s="189">
        <f>IF(BS63&gt;0,HLOOKUP(BS63,[1]Trav!$C$11:$O$31,$AU$105),0)</f>
        <v>28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275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41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8.1999999999999993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720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56</v>
      </c>
      <c r="AW117" s="172">
        <f t="shared" ref="AW117:BS117" si="83">SUM(AW106:AW115)</f>
        <v>56</v>
      </c>
      <c r="AX117" s="172">
        <f t="shared" si="83"/>
        <v>56</v>
      </c>
      <c r="AY117" s="172">
        <f t="shared" si="83"/>
        <v>56</v>
      </c>
      <c r="AZ117" s="172">
        <f t="shared" si="83"/>
        <v>56</v>
      </c>
      <c r="BA117" s="172">
        <f t="shared" si="83"/>
        <v>84</v>
      </c>
      <c r="BB117" s="172">
        <f t="shared" si="83"/>
        <v>84</v>
      </c>
      <c r="BC117" s="172">
        <f t="shared" si="83"/>
        <v>84</v>
      </c>
      <c r="BD117" s="172">
        <f t="shared" si="83"/>
        <v>84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70</v>
      </c>
      <c r="BP117" s="172">
        <f t="shared" si="83"/>
        <v>56</v>
      </c>
      <c r="BQ117" s="172">
        <f t="shared" si="83"/>
        <v>56</v>
      </c>
      <c r="BR117" s="172">
        <f t="shared" si="83"/>
        <v>56</v>
      </c>
      <c r="BS117" s="172">
        <f t="shared" si="83"/>
        <v>56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8.75</v>
      </c>
      <c r="CM117" s="172">
        <f t="shared" si="84"/>
        <v>8.75</v>
      </c>
      <c r="CN117" s="172">
        <f t="shared" si="84"/>
        <v>8.75</v>
      </c>
      <c r="CO117" s="172">
        <f t="shared" si="84"/>
        <v>8.75</v>
      </c>
      <c r="CP117" s="172">
        <f t="shared" si="84"/>
        <v>8.75</v>
      </c>
      <c r="CQ117" s="172">
        <f t="shared" si="84"/>
        <v>8.75</v>
      </c>
      <c r="CR117" s="172">
        <f t="shared" si="84"/>
        <v>8.75</v>
      </c>
      <c r="CS117" s="172">
        <f t="shared" si="84"/>
        <v>8.75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3803.0134202898553</v>
      </c>
      <c r="D118" s="201">
        <f>B118/Troupeau!$B$17</f>
        <v>12.509912566742946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740.4</v>
      </c>
      <c r="D119" s="201">
        <f>IF(B119=0,0,B119/Troupeau!$C$17)</f>
        <v>32.191304347826083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4543.4134202898549</v>
      </c>
    </row>
    <row r="123" spans="1:132" x14ac:dyDescent="0.25">
      <c r="A123" s="2" t="s">
        <v>856</v>
      </c>
      <c r="B123" s="30">
        <f>B108</f>
        <v>308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299.5</v>
      </c>
    </row>
    <row r="126" spans="1:132" x14ac:dyDescent="0.25">
      <c r="A126" s="2" t="s">
        <v>872</v>
      </c>
      <c r="B126" s="30">
        <f>B114+B115+B116</f>
        <v>769.2</v>
      </c>
    </row>
    <row r="128" spans="1:132" x14ac:dyDescent="0.25">
      <c r="A128" s="2" t="s">
        <v>873</v>
      </c>
      <c r="B128" s="200">
        <f>SUM(B122:B126)</f>
        <v>6520.1134202898547</v>
      </c>
    </row>
    <row r="129" spans="1:2" x14ac:dyDescent="0.25">
      <c r="A129" s="2" t="s">
        <v>874</v>
      </c>
      <c r="B129" s="30">
        <f>IF(Scénario!K129=1,Travail!F77+Travail!F86,F86)</f>
        <v>1201.5</v>
      </c>
    </row>
    <row r="130" spans="1:2" x14ac:dyDescent="0.25">
      <c r="A130" s="2" t="s">
        <v>875</v>
      </c>
      <c r="B130" s="200">
        <f>ROUND((B128-B129)/(Scénario!K4+Scénario!K6),0)</f>
        <v>3546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M243" zoomScale="90" zoomScaleNormal="90" workbookViewId="0">
      <selection activeCell="AC256" sqref="AC256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0.68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109.58999999999999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109.58999999999999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109.58999999999999</v>
      </c>
      <c r="C42" s="214">
        <f>[1]Eco!$B$24</f>
        <v>97</v>
      </c>
      <c r="J42" s="172">
        <f>B42*C42</f>
        <v>10630.23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109.58999999999999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7342.5299999999988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79.429999999999993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12500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109.58999999999999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122068.95999999999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64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169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79.429999999999993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69.868449999999996</v>
      </c>
      <c r="C118" s="189">
        <f>IF(Scénario!$K$12="BV",[1]Eco!$B$78,IF(Scénario!$K$12="BL",[1]Eco!$B$77,[1]Eco!$B$76))</f>
        <v>223</v>
      </c>
      <c r="J118" s="172">
        <f>B118*C118</f>
        <v>15580.664349999999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0.7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31.499999999999996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10.1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611.15099999999995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12.100000000000001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819.77500000000009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8139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853.58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58208.570350000002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22.2</v>
      </c>
      <c r="X153" t="s">
        <v>52</v>
      </c>
      <c r="Y153" s="172">
        <f>W153-Scénario!K28</f>
        <v>0</v>
      </c>
      <c r="Z153" s="172">
        <f>Y153-Y156</f>
        <v>0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12.100000000000001</v>
      </c>
      <c r="X154" t="s">
        <v>52</v>
      </c>
      <c r="Y154" s="172">
        <f>W154-Scénario!K29</f>
        <v>0</v>
      </c>
      <c r="Z154" s="172">
        <f>Y154</f>
        <v>0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0</v>
      </c>
      <c r="Z156" s="172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0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0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0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0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0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0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72">IF($T165&gt;0,$S165,0)</f>
        <v>1</v>
      </c>
      <c r="V165" s="172">
        <f t="shared" ref="V165:V207" si="73">IF($T165&gt;1,$S165,0)</f>
        <v>1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1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1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720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7653.6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506.2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5380.9059999999999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72"/>
        <v>3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3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3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0</v>
      </c>
      <c r="S168" s="172">
        <f>'Alim -Surf'!R11</f>
        <v>0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0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0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37887.398000000001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25972.991649999989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17315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3707.6052778958656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11265.386372104123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7510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72"/>
        <v>4.2</v>
      </c>
      <c r="V187" s="172">
        <f t="shared" si="73"/>
        <v>4.2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4.2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4.2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0.7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0.7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22.2</v>
      </c>
      <c r="V228" s="61">
        <f t="shared" ref="V228:W228" si="84">SUM(V164:V227)</f>
        <v>12.100000000000001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0.7</v>
      </c>
      <c r="AI228" s="61">
        <f t="shared" si="86"/>
        <v>10.1</v>
      </c>
      <c r="AJ228" s="61">
        <f t="shared" si="86"/>
        <v>12.100000000000001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7262</v>
      </c>
      <c r="U234" t="s">
        <v>1101</v>
      </c>
      <c r="V234" s="172"/>
      <c r="W234" s="172">
        <f>[1]Protect!$B$4</f>
        <v>6</v>
      </c>
      <c r="X234" s="172">
        <f>T234*W234</f>
        <v>43572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1</v>
      </c>
      <c r="W235" s="172">
        <f>[1]Protect!$B$83</f>
        <v>2000</v>
      </c>
      <c r="X235" s="172">
        <f t="shared" ref="X235:X236" si="87">T235*W235</f>
        <v>2000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45572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30072</v>
      </c>
      <c r="AB237" s="30">
        <f>(Scénario!K127/100)*AA237</f>
        <v>0</v>
      </c>
      <c r="AC237" s="30">
        <f>AA237-AB237</f>
        <v>30072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3707.6052778958656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9</v>
      </c>
      <c r="X245" s="172">
        <f>ROUND((([1]Protect!$B$5/[1]Protect!$B$11)+[1]Protect!$B$8)*T245,0)</f>
        <v>8139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3</v>
      </c>
      <c r="W246" s="172">
        <f>[1]Eco!$B$106*[1]Eco!$B$108*[1]Eco!$B$109</f>
        <v>2551.2000000000003</v>
      </c>
      <c r="X246" s="172">
        <f>T246*W246</f>
        <v>7653.6</v>
      </c>
    </row>
    <row r="247" spans="17:31" x14ac:dyDescent="0.25">
      <c r="S247" s="14" t="s">
        <v>1116</v>
      </c>
      <c r="T247" s="30">
        <f>Travail!F16/8</f>
        <v>84</v>
      </c>
      <c r="W247" s="172">
        <f>[1]Eco!$B$111</f>
        <v>28.3</v>
      </c>
      <c r="X247" s="172">
        <f>T247*W247</f>
        <v>2377.2000000000003</v>
      </c>
    </row>
    <row r="248" spans="17:31" x14ac:dyDescent="0.25">
      <c r="W248" s="14" t="s">
        <v>1117</v>
      </c>
      <c r="X248" s="172">
        <f>SUM(X245:X247)</f>
        <v>18169.8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18169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233.33333333333334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2">
        <f>IF(T257=0,0,[1]Protect!$B77)</f>
        <v>12500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2">
        <f>IF(T258=0,0,[1]Protect!$B78)</f>
        <v>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12500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12500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10000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108.93</v>
      </c>
      <c r="U272" s="172"/>
      <c r="V272" s="172"/>
      <c r="W272" s="172">
        <f>W234</f>
        <v>6</v>
      </c>
      <c r="X272" s="172">
        <f>T272*W272</f>
        <v>653.58000000000004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2</v>
      </c>
      <c r="U274" s="172"/>
      <c r="V274" s="172"/>
      <c r="W274" s="172">
        <f>W271</f>
        <v>100</v>
      </c>
      <c r="X274" s="172">
        <f>T274*W274</f>
        <v>200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Z1_OLBV_T3_s1</v>
      </c>
      <c r="D1" s="274" t="str">
        <f>CONCATENATE(C1,"_corr")</f>
        <v>Z1_OLBV_T3_s1_corr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1</v>
      </c>
      <c r="D25" s="176">
        <f t="shared" si="0"/>
        <v>1</v>
      </c>
    </row>
    <row r="26" spans="2:5" x14ac:dyDescent="0.25">
      <c r="B26" s="14" t="s">
        <v>574</v>
      </c>
      <c r="C26" s="176" t="str">
        <f>Scénario!K57</f>
        <v>4. présence 1 éleveur</v>
      </c>
      <c r="D26" s="176" t="str">
        <f t="shared" si="0"/>
        <v>4. présence 1 éleveur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4</v>
      </c>
      <c r="D31" s="176">
        <f t="shared" si="0"/>
        <v>4</v>
      </c>
    </row>
    <row r="32" spans="2:5" x14ac:dyDescent="0.25">
      <c r="B32" s="14" t="s">
        <v>584</v>
      </c>
      <c r="C32" s="176">
        <f>Scénario!K62</f>
        <v>16</v>
      </c>
      <c r="D32" s="176">
        <f t="shared" si="0"/>
        <v>16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64</v>
      </c>
      <c r="D39" s="176">
        <f t="shared" si="0"/>
        <v>64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64</v>
      </c>
      <c r="D41" s="176">
        <f t="shared" si="0"/>
        <v>64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1</v>
      </c>
      <c r="D51" s="176">
        <f t="shared" si="0"/>
        <v>1</v>
      </c>
      <c r="E51" s="14"/>
    </row>
    <row r="52" spans="1:132" x14ac:dyDescent="0.25">
      <c r="B52" s="19" t="s">
        <v>596</v>
      </c>
      <c r="C52" s="176">
        <f>Scénario!K84</f>
        <v>2</v>
      </c>
      <c r="D52" s="176">
        <f t="shared" si="0"/>
        <v>2</v>
      </c>
      <c r="E52" s="14"/>
    </row>
    <row r="53" spans="1:132" x14ac:dyDescent="0.25">
      <c r="B53" s="14" t="s">
        <v>606</v>
      </c>
      <c r="C53" s="176">
        <f>Scénario!K88</f>
        <v>1</v>
      </c>
      <c r="D53" s="176">
        <f t="shared" si="0"/>
        <v>1</v>
      </c>
      <c r="E53" s="14"/>
    </row>
    <row r="54" spans="1:132" x14ac:dyDescent="0.25">
      <c r="B54" s="14" t="s">
        <v>623</v>
      </c>
      <c r="C54" s="176">
        <f>Scénario!K89</f>
        <v>1</v>
      </c>
      <c r="D54" s="176">
        <f t="shared" si="0"/>
        <v>1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1</v>
      </c>
      <c r="D59" s="176">
        <f t="shared" si="0"/>
        <v>1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1</v>
      </c>
      <c r="D61" s="176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22.2</v>
      </c>
      <c r="D85" s="260">
        <f>ROUND(C85*$D$82/$C$82,3)</f>
        <v>24.42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12.100000000000001</v>
      </c>
      <c r="D86" s="260">
        <f t="shared" ref="D86:D97" si="14">ROUND(C86*$D$82/$C$82,3)</f>
        <v>13.31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2.2200000000000002</v>
      </c>
      <c r="D88" s="260">
        <f t="shared" si="14"/>
        <v>2.4420000000000002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lot4</v>
      </c>
      <c r="CA90" s="191">
        <f>Scénario!K109</f>
        <v>0</v>
      </c>
      <c r="CB90" s="172">
        <f t="shared" si="21"/>
        <v>0</v>
      </c>
      <c r="CC90" s="172">
        <f t="shared" si="18"/>
        <v>0</v>
      </c>
      <c r="CD90" s="172">
        <f t="shared" si="18"/>
        <v>0</v>
      </c>
      <c r="CE90" s="172">
        <f t="shared" si="18"/>
        <v>0</v>
      </c>
      <c r="CF90" s="172">
        <f t="shared" si="18"/>
        <v>0</v>
      </c>
      <c r="CG90" s="172">
        <f t="shared" si="18"/>
        <v>0</v>
      </c>
      <c r="CH90" s="172">
        <f t="shared" si="18"/>
        <v>0</v>
      </c>
      <c r="CI90" s="172">
        <f t="shared" si="18"/>
        <v>0</v>
      </c>
      <c r="CJ90" s="172">
        <f t="shared" si="18"/>
        <v>0</v>
      </c>
      <c r="CK90" s="172">
        <f t="shared" si="18"/>
        <v>0</v>
      </c>
      <c r="CL90" s="172">
        <f t="shared" si="18"/>
        <v>0</v>
      </c>
      <c r="CM90" s="172">
        <f t="shared" si="18"/>
        <v>0</v>
      </c>
      <c r="CN90" s="172">
        <f t="shared" si="18"/>
        <v>0</v>
      </c>
      <c r="CO90" s="172">
        <f t="shared" si="18"/>
        <v>0</v>
      </c>
      <c r="CP90" s="172">
        <f t="shared" si="18"/>
        <v>0</v>
      </c>
      <c r="CQ90" s="172">
        <f t="shared" si="18"/>
        <v>0</v>
      </c>
      <c r="CR90" s="172">
        <f t="shared" si="18"/>
        <v>0</v>
      </c>
      <c r="CS90" s="172">
        <f t="shared" si="18"/>
        <v>0</v>
      </c>
      <c r="CT90" s="172">
        <f t="shared" si="18"/>
        <v>0</v>
      </c>
      <c r="CU90" s="172">
        <f t="shared" si="18"/>
        <v>0</v>
      </c>
      <c r="CV90" s="172">
        <f t="shared" si="18"/>
        <v>0</v>
      </c>
      <c r="CW90" s="172">
        <f t="shared" si="18"/>
        <v>0</v>
      </c>
      <c r="CX90" s="172">
        <f t="shared" si="18"/>
        <v>0</v>
      </c>
      <c r="CY90" s="172">
        <f t="shared" si="18"/>
        <v>0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3</v>
      </c>
      <c r="R95" s="30">
        <f>CdTrp1!L77</f>
        <v>3</v>
      </c>
      <c r="S95" s="30">
        <f>CdTrp1!M77</f>
        <v>5</v>
      </c>
      <c r="T95" s="30">
        <f>CdTrp1!N77</f>
        <v>5</v>
      </c>
      <c r="U95" s="30">
        <f>CdTrp1!O77</f>
        <v>5</v>
      </c>
      <c r="V95" s="30">
        <f>CdTrp1!P77</f>
        <v>5</v>
      </c>
      <c r="W95" s="30">
        <f>CdTrp1!Q77</f>
        <v>5</v>
      </c>
      <c r="X95" s="30">
        <f>CdTrp1!R77</f>
        <v>5</v>
      </c>
      <c r="Y95" s="30">
        <f>CdTrp1!S77</f>
        <v>5</v>
      </c>
      <c r="Z95" s="30">
        <f>CdTrp1!T77</f>
        <v>3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3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4</v>
      </c>
      <c r="D98" s="172">
        <f>C98</f>
        <v>4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1</v>
      </c>
      <c r="AW99" s="172">
        <f>IF(CdTrp1!C53=1,3,IF(CdTrp1!C53=0.5,2,IF(CdTrp1!C53=0,1,0)))</f>
        <v>1</v>
      </c>
      <c r="AX99" s="172">
        <f>IF(CdTrp1!D53=1,3,IF(CdTrp1!D53=0.5,2,IF(CdTrp1!D53=0,1,0)))</f>
        <v>1</v>
      </c>
      <c r="AY99" s="172">
        <f>IF(CdTrp1!E53=1,3,IF(CdTrp1!E53=0.5,2,IF(CdTrp1!E53=0,1,0)))</f>
        <v>1</v>
      </c>
      <c r="AZ99" s="172">
        <f>IF(CdTrp1!F53=1,3,IF(CdTrp1!F53=0.5,2,IF(CdTrp1!F53=0,1,0)))</f>
        <v>1</v>
      </c>
      <c r="BA99" s="172">
        <f>IF(CdTrp1!G53=1,3,IF(CdTrp1!G53=0.5,2,IF(CdTrp1!G53=0,1,0)))</f>
        <v>1</v>
      </c>
      <c r="BB99" s="172">
        <f>IF(CdTrp1!H53=1,3,IF(CdTrp1!H53=0.5,2,IF(CdTrp1!H53=0,1,0)))</f>
        <v>1</v>
      </c>
      <c r="BC99" s="172">
        <f>IF(CdTrp1!I53=1,3,IF(CdTrp1!I53=0.5,2,IF(CdTrp1!I53=0,1,0)))</f>
        <v>1</v>
      </c>
      <c r="BD99" s="172">
        <f>IF(CdTrp1!J53=1,3,IF(CdTrp1!J53=0.5,2,IF(CdTrp1!J53=0,1,0)))</f>
        <v>1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1</v>
      </c>
      <c r="BP99" s="172">
        <f>IF(CdTrp1!V53=1,3,IF(CdTrp1!V53=0.5,2,IF(CdTrp1!V53=0,1,0)))</f>
        <v>1</v>
      </c>
      <c r="BQ99" s="172">
        <f>IF(CdTrp1!W53=1,3,IF(CdTrp1!W53=0.5,2,IF(CdTrp1!W53=0,1,0)))</f>
        <v>1</v>
      </c>
      <c r="BR99" s="172">
        <f>IF(CdTrp1!X53=1,3,IF(CdTrp1!X53=0.5,2,IF(CdTrp1!X53=0,1,0)))</f>
        <v>1</v>
      </c>
      <c r="BS99" s="172">
        <f>IF(CdTrp1!Y53=1,3,IF(CdTrp1!Y53=0.5,2,IF(CdTrp1!Y53=0,1,0)))</f>
        <v>1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2</v>
      </c>
      <c r="BB100" s="172">
        <f>IF(CdTrp1!H54=1,3,IF(CdTrp1!H54=0.5,2,IF(CdTrp1!H54=0,1,0)))</f>
        <v>2</v>
      </c>
      <c r="BC100" s="172">
        <f>IF(CdTrp1!I54=1,3,IF(CdTrp1!I54=0.5,2,IF(CdTrp1!I54=0,1,0)))</f>
        <v>2</v>
      </c>
      <c r="BD100" s="172">
        <f>IF(CdTrp1!J54=1,3,IF(CdTrp1!J54=0.5,2,IF(CdTrp1!J54=0,1,0)))</f>
        <v>2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2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7</v>
      </c>
      <c r="D101" s="172">
        <f t="shared" si="25"/>
        <v>7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1</v>
      </c>
      <c r="AW101" s="172">
        <f>IF(CdTrp1!C55=1,3,IF(CdTrp1!C55=0.5,2,IF(CdTrp1!C55=0,1,0)))</f>
        <v>1</v>
      </c>
      <c r="AX101" s="172">
        <f>IF(CdTrp1!D55=1,3,IF(CdTrp1!D55=0.5,2,IF(CdTrp1!D55=0,1,0)))</f>
        <v>1</v>
      </c>
      <c r="AY101" s="172">
        <f>IF(CdTrp1!E55=1,3,IF(CdTrp1!E55=0.5,2,IF(CdTrp1!E55=0,1,0)))</f>
        <v>1</v>
      </c>
      <c r="AZ101" s="172">
        <f>IF(CdTrp1!F55=1,3,IF(CdTrp1!F55=0.5,2,IF(CdTrp1!F55=0,1,0)))</f>
        <v>1</v>
      </c>
      <c r="BA101" s="172">
        <f>IF(CdTrp1!G55=1,3,IF(CdTrp1!G55=0.5,2,IF(CdTrp1!G55=0,1,0)))</f>
        <v>1</v>
      </c>
      <c r="BB101" s="172">
        <f>IF(CdTrp1!H55=1,3,IF(CdTrp1!H55=0.5,2,IF(CdTrp1!H55=0,1,0)))</f>
        <v>1</v>
      </c>
      <c r="BC101" s="172">
        <f>IF(CdTrp1!I55=1,3,IF(CdTrp1!I55=0.5,2,IF(CdTrp1!I55=0,1,0)))</f>
        <v>1</v>
      </c>
      <c r="BD101" s="172">
        <f>IF(CdTrp1!J55=1,3,IF(CdTrp1!J55=0.5,2,IF(CdTrp1!J55=0,1,0)))</f>
        <v>1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1</v>
      </c>
      <c r="BP101" s="172">
        <f>IF(CdTrp1!V55=1,3,IF(CdTrp1!V55=0.5,2,IF(CdTrp1!V55=0,1,0)))</f>
        <v>1</v>
      </c>
      <c r="BQ101" s="172">
        <f>IF(CdTrp1!W55=1,3,IF(CdTrp1!W55=0.5,2,IF(CdTrp1!W55=0,1,0)))</f>
        <v>1</v>
      </c>
      <c r="BR101" s="172">
        <f>IF(CdTrp1!X55=1,3,IF(CdTrp1!X55=0.5,2,IF(CdTrp1!X55=0,1,0)))</f>
        <v>1</v>
      </c>
      <c r="BS101" s="172">
        <f>IF(CdTrp1!Y55=1,3,IF(CdTrp1!Y55=0.5,2,IF(CdTrp1!Y55=0,1,0)))</f>
        <v>1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34.5</v>
      </c>
      <c r="D106" s="172">
        <f t="shared" si="25"/>
        <v>34.5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56.5</v>
      </c>
      <c r="D109" s="172">
        <f t="shared" si="25"/>
        <v>56.5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0</v>
      </c>
      <c r="CM109" s="172">
        <f>IF(CdTrp2!M76=1,1,IF(CdTrp2!M76=2,2,IF(CdTrp2!M76=3,2,IF(CdTrp2!M76=4,4,0))))</f>
        <v>0</v>
      </c>
      <c r="CN109" s="172">
        <f>IF(CdTrp2!N76=1,1,IF(CdTrp2!N76=2,2,IF(CdTrp2!N76=3,2,IF(CdTrp2!N76=4,4,0))))</f>
        <v>0</v>
      </c>
      <c r="CO109" s="172">
        <f>IF(CdTrp2!O76=1,1,IF(CdTrp2!O76=2,2,IF(CdTrp2!O76=3,2,IF(CdTrp2!O76=4,4,0))))</f>
        <v>0</v>
      </c>
      <c r="CP109" s="172">
        <f>IF(CdTrp2!P76=1,1,IF(CdTrp2!P76=2,2,IF(CdTrp2!P76=3,2,IF(CdTrp2!P76=4,4,0))))</f>
        <v>0</v>
      </c>
      <c r="CQ109" s="172">
        <f>IF(CdTrp2!Q76=1,1,IF(CdTrp2!Q76=2,2,IF(CdTrp2!Q76=3,2,IF(CdTrp2!Q76=4,4,0))))</f>
        <v>0</v>
      </c>
      <c r="CR109" s="172">
        <f>IF(CdTrp2!R76=1,1,IF(CdTrp2!R76=2,2,IF(CdTrp2!R76=3,2,IF(CdTrp2!R76=4,4,0))))</f>
        <v>0</v>
      </c>
      <c r="CS109" s="172">
        <f>IF(CdTrp2!S76=1,1,IF(CdTrp2!S76=2,2,IF(CdTrp2!S76=3,2,IF(CdTrp2!S76=4,4,0))))</f>
        <v>0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11.5</v>
      </c>
      <c r="D110" s="172">
        <f t="shared" si="25"/>
        <v>11.5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2</v>
      </c>
      <c r="AW110" s="172">
        <f>IF(CdTrp1!C77=1,1,IF(CdTrp1!C77=2,2,IF(CdTrp1!C77=3,2,IF(CdTrp1!C77=4,4,0))))</f>
        <v>2</v>
      </c>
      <c r="AX110" s="172">
        <f>IF(CdTrp1!D77=1,1,IF(CdTrp1!D77=2,2,IF(CdTrp1!D77=3,2,IF(CdTrp1!D77=4,4,0))))</f>
        <v>2</v>
      </c>
      <c r="AY110" s="172">
        <f>IF(CdTrp1!E77=1,1,IF(CdTrp1!E77=2,2,IF(CdTrp1!E77=3,2,IF(CdTrp1!E77=4,4,0))))</f>
        <v>2</v>
      </c>
      <c r="AZ110" s="172">
        <f>IF(CdTrp1!F77=1,1,IF(CdTrp1!F77=2,2,IF(CdTrp1!F77=3,2,IF(CdTrp1!F77=4,4,0))))</f>
        <v>2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2</v>
      </c>
      <c r="BF110" s="172">
        <f>IF(CdTrp1!L77=1,1,IF(CdTrp1!L77=2,2,IF(CdTrp1!L77=3,2,IF(CdTrp1!L77=4,4,0))))</f>
        <v>2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2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2</v>
      </c>
      <c r="BS110" s="172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10</v>
      </c>
      <c r="D111" s="172">
        <f t="shared" si="25"/>
        <v>10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1</v>
      </c>
      <c r="BB111" s="172">
        <f>IF(CdTrp1!H78=1,1,IF(CdTrp1!H78=2,2,IF(CdTrp1!H78=3,2,IF(CdTrp1!H78=4,4,0))))</f>
        <v>1</v>
      </c>
      <c r="BC111" s="172">
        <f>IF(CdTrp1!I78=1,1,IF(CdTrp1!I78=2,2,IF(CdTrp1!I78=3,2,IF(CdTrp1!I78=4,4,0))))</f>
        <v>1</v>
      </c>
      <c r="BD111" s="172">
        <f>IF(CdTrp1!J78=1,1,IF(CdTrp1!J78=2,2,IF(CdTrp1!J78=3,2,IF(CdTrp1!J78=4,4,0))))</f>
        <v>1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1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2</v>
      </c>
      <c r="AW112" s="172">
        <f>IF(CdTrp1!C79=1,1,IF(CdTrp1!C79=2,2,IF(CdTrp1!C79=3,2,IF(CdTrp1!C79=4,4,0))))</f>
        <v>2</v>
      </c>
      <c r="AX112" s="172">
        <f>IF(CdTrp1!D79=1,1,IF(CdTrp1!D79=2,2,IF(CdTrp1!D79=3,2,IF(CdTrp1!D79=4,4,0))))</f>
        <v>2</v>
      </c>
      <c r="AY112" s="172">
        <f>IF(CdTrp1!E79=1,1,IF(CdTrp1!E79=2,2,IF(CdTrp1!E79=3,2,IF(CdTrp1!E79=4,4,0))))</f>
        <v>2</v>
      </c>
      <c r="AZ112" s="172">
        <f>IF(CdTrp1!F79=1,1,IF(CdTrp1!F79=2,2,IF(CdTrp1!F79=3,2,IF(CdTrp1!F79=4,4,0))))</f>
        <v>2</v>
      </c>
      <c r="BA112" s="172">
        <f>IF(CdTrp1!G79=1,1,IF(CdTrp1!G79=2,2,IF(CdTrp1!G79=3,2,IF(CdTrp1!G79=4,4,0))))</f>
        <v>2</v>
      </c>
      <c r="BB112" s="172">
        <f>IF(CdTrp1!H79=1,1,IF(CdTrp1!H79=2,2,IF(CdTrp1!H79=3,2,IF(CdTrp1!H79=4,4,0))))</f>
        <v>2</v>
      </c>
      <c r="BC112" s="172">
        <f>IF(CdTrp1!I79=1,1,IF(CdTrp1!I79=2,2,IF(CdTrp1!I79=3,2,IF(CdTrp1!I79=4,4,0))))</f>
        <v>2</v>
      </c>
      <c r="BD112" s="172">
        <f>IF(CdTrp1!J79=1,1,IF(CdTrp1!J79=2,2,IF(CdTrp1!J79=3,2,IF(CdTrp1!J79=4,4,0))))</f>
        <v>2</v>
      </c>
      <c r="BE112" s="172">
        <f>IF(CdTrp1!K79=1,1,IF(CdTrp1!K79=2,2,IF(CdTrp1!K79=3,2,IF(CdTrp1!K79=4,4,0))))</f>
        <v>2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2</v>
      </c>
      <c r="BP112" s="172">
        <f>IF(CdTrp1!V79=1,1,IF(CdTrp1!V79=2,2,IF(CdTrp1!V79=3,2,IF(CdTrp1!V79=4,4,0))))</f>
        <v>2</v>
      </c>
      <c r="BQ112" s="172">
        <f>IF(CdTrp1!W79=1,1,IF(CdTrp1!W79=2,2,IF(CdTrp1!W79=3,2,IF(CdTrp1!W79=4,4,0))))</f>
        <v>2</v>
      </c>
      <c r="BR112" s="172">
        <f>IF(CdTrp1!X79=1,1,IF(CdTrp1!X79=2,2,IF(CdTrp1!X79=3,2,IF(CdTrp1!X79=4,4,0))))</f>
        <v>2</v>
      </c>
      <c r="BS112" s="172">
        <f>IF(CdTrp1!Y79=1,1,IF(CdTrp1!Y79=2,2,IF(CdTrp1!Y79=3,2,IF(CdTrp1!Y79=4,4,0))))</f>
        <v>2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9.5</v>
      </c>
      <c r="D113" s="172">
        <f t="shared" si="25"/>
        <v>9.5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6.5</v>
      </c>
      <c r="D116" s="172">
        <f t="shared" si="25"/>
        <v>6.5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210</v>
      </c>
      <c r="CM121" s="172">
        <f>IF(CM75=0,0,VALUE(CONCATENATE(Travail!CM26,Travail!CM37,Travail!CM48)))</f>
        <v>210</v>
      </c>
      <c r="CN121" s="172">
        <f>IF(CN75=0,0,VALUE(CONCATENATE(Travail!CN26,Travail!CN37,Travail!CN48)))</f>
        <v>210</v>
      </c>
      <c r="CO121" s="172">
        <f>IF(CO75=0,0,VALUE(CONCATENATE(Travail!CO26,Travail!CO37,Travail!CO48)))</f>
        <v>210</v>
      </c>
      <c r="CP121" s="172">
        <f>IF(CP75=0,0,VALUE(CONCATENATE(Travail!CP26,Travail!CP37,Travail!CP48)))</f>
        <v>210</v>
      </c>
      <c r="CQ121" s="172">
        <f>IF(CQ75=0,0,VALUE(CONCATENATE(Travail!CQ26,Travail!CQ37,Travail!CQ48)))</f>
        <v>210</v>
      </c>
      <c r="CR121" s="172">
        <f>IF(CR75=0,0,VALUE(CONCATENATE(Travail!CR26,Travail!CR37,Travail!CR48)))</f>
        <v>210</v>
      </c>
      <c r="CS121" s="172">
        <f>IF(CS75=0,0,VALUE(CONCATENATE(Travail!CS26,Travail!CS37,Travail!CS48)))</f>
        <v>210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7</v>
      </c>
      <c r="D122" s="172">
        <f t="shared" si="25"/>
        <v>7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212</v>
      </c>
      <c r="AW122" s="172">
        <f>IF(AW76=0,0,IF(AW99=3,0,VALUE(CONCATENATE(Travail!AW27,Travail!AW38,Travail!AW49))))</f>
        <v>212</v>
      </c>
      <c r="AX122" s="172">
        <f>IF(AX76=0,0,IF(AX99=3,0,VALUE(CONCATENATE(Travail!AX27,Travail!AX38,Travail!AX49))))</f>
        <v>212</v>
      </c>
      <c r="AY122" s="172">
        <f>IF(AY76=0,0,IF(AY99=3,0,VALUE(CONCATENATE(Travail!AY27,Travail!AY38,Travail!AY49))))</f>
        <v>212</v>
      </c>
      <c r="AZ122" s="172">
        <f>IF(AZ76=0,0,IF(AZ99=3,0,VALUE(CONCATENATE(Travail!AZ27,Travail!AZ38,Travail!AZ49))))</f>
        <v>212</v>
      </c>
      <c r="BA122" s="172">
        <f>IF(BA76=0,0,IF(BA99=3,0,VALUE(CONCATENATE(Travail!BA27,Travail!BA38,Travail!BA49))))</f>
        <v>212</v>
      </c>
      <c r="BB122" s="172">
        <f>IF(BB76=0,0,IF(BB99=3,0,VALUE(CONCATENATE(Travail!BB27,Travail!BB38,Travail!BB49))))</f>
        <v>212</v>
      </c>
      <c r="BC122" s="172">
        <f>IF(BC76=0,0,IF(BC99=3,0,VALUE(CONCATENATE(Travail!BC27,Travail!BC38,Travail!BC49))))</f>
        <v>212</v>
      </c>
      <c r="BD122" s="172">
        <f>IF(BD76=0,0,IF(BD99=3,0,VALUE(CONCATENATE(Travail!BD27,Travail!BD38,Travail!BD49))))</f>
        <v>212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212</v>
      </c>
      <c r="BP122" s="172">
        <f>IF(BP76=0,0,IF(BP99=3,0,VALUE(CONCATENATE(Travail!BP27,Travail!BP38,Travail!BP49))))</f>
        <v>212</v>
      </c>
      <c r="BQ122" s="172">
        <f>IF(BQ76=0,0,IF(BQ99=3,0,VALUE(CONCATENATE(Travail!BQ27,Travail!BQ38,Travail!BQ49))))</f>
        <v>212</v>
      </c>
      <c r="BR122" s="172">
        <f>IF(BR76=0,0,IF(BR99=3,0,VALUE(CONCATENATE(Travail!BR27,Travail!BR38,Travail!BR49))))</f>
        <v>212</v>
      </c>
      <c r="BS122" s="172">
        <f>IF(BS76=0,0,IF(BS99=3,0,VALUE(CONCATENATE(Travail!BS27,Travail!BS38,Travail!BS49))))</f>
        <v>212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4</v>
      </c>
      <c r="D123" s="172">
        <f t="shared" si="25"/>
        <v>4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221</v>
      </c>
      <c r="BB123" s="172">
        <f>IF(BB77=0,0,IF(BB100=3,0,VALUE(CONCATENATE(Travail!BB28,Travail!BB39,Travail!BB50))))</f>
        <v>221</v>
      </c>
      <c r="BC123" s="172">
        <f>IF(BC77=0,0,IF(BC100=3,0,VALUE(CONCATENATE(Travail!BC28,Travail!BC39,Travail!BC50))))</f>
        <v>221</v>
      </c>
      <c r="BD123" s="172">
        <f>IF(BD77=0,0,IF(BD100=3,0,VALUE(CONCATENATE(Travail!BD28,Travail!BD39,Travail!BD50))))</f>
        <v>221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212</v>
      </c>
      <c r="AW124" s="172">
        <f>IF(AW78=0,0,IF(AW101=3,0,VALUE(CONCATENATE(Travail!AW29,Travail!AW40,Travail!AW51))))</f>
        <v>212</v>
      </c>
      <c r="AX124" s="172">
        <f>IF(AX78=0,0,IF(AX101=3,0,VALUE(CONCATENATE(Travail!AX29,Travail!AX40,Travail!AX51))))</f>
        <v>212</v>
      </c>
      <c r="AY124" s="172">
        <f>IF(AY78=0,0,IF(AY101=3,0,VALUE(CONCATENATE(Travail!AY29,Travail!AY40,Travail!AY51))))</f>
        <v>212</v>
      </c>
      <c r="AZ124" s="172">
        <f>IF(AZ78=0,0,IF(AZ101=3,0,VALUE(CONCATENATE(Travail!AZ29,Travail!AZ40,Travail!AZ51))))</f>
        <v>212</v>
      </c>
      <c r="BA124" s="172">
        <f>IF(BA78=0,0,IF(BA101=3,0,VALUE(CONCATENATE(Travail!BA29,Travail!BA40,Travail!BA51))))</f>
        <v>212</v>
      </c>
      <c r="BB124" s="172">
        <f>IF(BB78=0,0,IF(BB101=3,0,VALUE(CONCATENATE(Travail!BB29,Travail!BB40,Travail!BB51))))</f>
        <v>212</v>
      </c>
      <c r="BC124" s="172">
        <f>IF(BC78=0,0,IF(BC101=3,0,VALUE(CONCATENATE(Travail!BC29,Travail!BC40,Travail!BC51))))</f>
        <v>212</v>
      </c>
      <c r="BD124" s="172">
        <f>IF(BD78=0,0,IF(BD101=3,0,VALUE(CONCATENATE(Travail!BD29,Travail!BD40,Travail!BD51))))</f>
        <v>212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212</v>
      </c>
      <c r="BP124" s="172">
        <f>IF(BP78=0,0,IF(BP101=3,0,VALUE(CONCATENATE(Travail!BP29,Travail!BP40,Travail!BP51))))</f>
        <v>212</v>
      </c>
      <c r="BQ124" s="172">
        <f>IF(BQ78=0,0,IF(BQ101=3,0,VALUE(CONCATENATE(Travail!BQ29,Travail!BQ40,Travail!BQ51))))</f>
        <v>212</v>
      </c>
      <c r="BR124" s="172">
        <f>IF(BR78=0,0,IF(BR101=3,0,VALUE(CONCATENATE(Travail!BR29,Travail!BR40,Travail!BR51))))</f>
        <v>212</v>
      </c>
      <c r="BS124" s="172">
        <f>IF(BS78=0,0,IF(BS101=3,0,VALUE(CONCATENATE(Travail!BS29,Travail!BS40,Travail!BS51))))</f>
        <v>212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4</v>
      </c>
      <c r="D126" s="172">
        <f t="shared" si="25"/>
        <v>4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4</v>
      </c>
      <c r="D128" s="172">
        <f t="shared" si="25"/>
        <v>4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4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3</v>
      </c>
      <c r="Y129">
        <f t="shared" si="35"/>
        <v>3</v>
      </c>
      <c r="Z129">
        <f t="shared" si="35"/>
        <v>3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7</v>
      </c>
      <c r="Q132">
        <f t="shared" si="38"/>
        <v>7</v>
      </c>
      <c r="R132">
        <f t="shared" si="38"/>
        <v>6</v>
      </c>
      <c r="S132">
        <f t="shared" si="38"/>
        <v>6</v>
      </c>
      <c r="T132">
        <f t="shared" si="38"/>
        <v>6</v>
      </c>
      <c r="U132">
        <f t="shared" si="38"/>
        <v>6</v>
      </c>
      <c r="V132">
        <f t="shared" si="38"/>
        <v>6</v>
      </c>
      <c r="W132">
        <f t="shared" si="38"/>
        <v>6</v>
      </c>
      <c r="X132">
        <f t="shared" si="38"/>
        <v>6</v>
      </c>
      <c r="Y132">
        <f t="shared" si="38"/>
        <v>6</v>
      </c>
      <c r="Z132">
        <f t="shared" si="38"/>
        <v>6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0.41818181818181815</v>
      </c>
      <c r="D133" s="261">
        <f t="shared" si="25"/>
        <v>0.41818181818181815</v>
      </c>
      <c r="AT133" s="188" t="str">
        <f t="shared" ref="AT133:AT141" si="42">AT122</f>
        <v>vides</v>
      </c>
      <c r="AV133" s="172">
        <f t="shared" si="39"/>
        <v>21</v>
      </c>
      <c r="AW133" s="172">
        <f t="shared" si="39"/>
        <v>21</v>
      </c>
      <c r="AX133" s="172">
        <f t="shared" si="39"/>
        <v>21</v>
      </c>
      <c r="AY133" s="172">
        <f t="shared" si="39"/>
        <v>21</v>
      </c>
      <c r="AZ133" s="172">
        <f t="shared" si="39"/>
        <v>21</v>
      </c>
      <c r="BA133" s="172">
        <f t="shared" si="39"/>
        <v>21</v>
      </c>
      <c r="BB133" s="172">
        <f t="shared" si="39"/>
        <v>21</v>
      </c>
      <c r="BC133" s="172">
        <f t="shared" si="39"/>
        <v>21</v>
      </c>
      <c r="BD133" s="172">
        <f t="shared" si="39"/>
        <v>21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21</v>
      </c>
      <c r="BP133" s="172">
        <f t="shared" si="39"/>
        <v>21</v>
      </c>
      <c r="BQ133" s="172">
        <f t="shared" si="39"/>
        <v>21</v>
      </c>
      <c r="BR133" s="172">
        <f t="shared" si="39"/>
        <v>21</v>
      </c>
      <c r="BS133" s="172">
        <f t="shared" si="39"/>
        <v>21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0.55555555555555558</v>
      </c>
      <c r="D134" s="261">
        <f t="shared" si="25"/>
        <v>0.55555555555555558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22</v>
      </c>
      <c r="BB134" s="172">
        <f t="shared" si="39"/>
        <v>22</v>
      </c>
      <c r="BC134" s="172">
        <f t="shared" si="39"/>
        <v>22</v>
      </c>
      <c r="BD134" s="172">
        <f t="shared" si="39"/>
        <v>22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21</v>
      </c>
      <c r="AW135" s="172">
        <f t="shared" si="39"/>
        <v>21</v>
      </c>
      <c r="AX135" s="172">
        <f t="shared" si="39"/>
        <v>21</v>
      </c>
      <c r="AY135" s="172">
        <f t="shared" si="39"/>
        <v>21</v>
      </c>
      <c r="AZ135" s="172">
        <f t="shared" si="39"/>
        <v>21</v>
      </c>
      <c r="BA135" s="172">
        <f t="shared" si="39"/>
        <v>21</v>
      </c>
      <c r="BB135" s="172">
        <f t="shared" si="39"/>
        <v>21</v>
      </c>
      <c r="BC135" s="172">
        <f t="shared" si="39"/>
        <v>21</v>
      </c>
      <c r="BD135" s="172">
        <f t="shared" si="39"/>
        <v>21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21</v>
      </c>
      <c r="BP135" s="172">
        <f t="shared" si="39"/>
        <v>21</v>
      </c>
      <c r="BQ135" s="172">
        <f t="shared" si="39"/>
        <v>21</v>
      </c>
      <c r="BR135" s="172">
        <f t="shared" si="39"/>
        <v>21</v>
      </c>
      <c r="BS135" s="172">
        <f t="shared" si="39"/>
        <v>21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0.47252747252747251</v>
      </c>
      <c r="D136" s="261">
        <f t="shared" si="25"/>
        <v>0.47252747252747251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2</v>
      </c>
      <c r="AW142" s="172">
        <f t="shared" ref="AW142:BS142" si="58">COUNTIF(AW$132:AW$141,23)</f>
        <v>2</v>
      </c>
      <c r="AX142" s="172">
        <f t="shared" si="58"/>
        <v>2</v>
      </c>
      <c r="AY142" s="172">
        <f t="shared" si="58"/>
        <v>1</v>
      </c>
      <c r="AZ142" s="172">
        <f t="shared" si="58"/>
        <v>1</v>
      </c>
      <c r="BA142" s="172">
        <f t="shared" si="58"/>
        <v>0</v>
      </c>
      <c r="BB142" s="172">
        <f t="shared" si="58"/>
        <v>0</v>
      </c>
      <c r="BC142" s="172">
        <f t="shared" si="58"/>
        <v>0</v>
      </c>
      <c r="BD142" s="172">
        <f t="shared" si="58"/>
        <v>0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0</v>
      </c>
      <c r="BP142" s="172">
        <f t="shared" si="58"/>
        <v>1</v>
      </c>
      <c r="BQ142" s="172">
        <f t="shared" si="58"/>
        <v>2</v>
      </c>
      <c r="BR142" s="172">
        <f t="shared" si="58"/>
        <v>2</v>
      </c>
      <c r="BS142" s="172">
        <f t="shared" si="58"/>
        <v>2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0</v>
      </c>
      <c r="AW144" s="172">
        <f t="shared" ref="AW144:BS144" si="64">COUNTIF(AW$132:AW$141,22)</f>
        <v>0</v>
      </c>
      <c r="AX144" s="172">
        <f t="shared" si="64"/>
        <v>0</v>
      </c>
      <c r="AY144" s="172">
        <f t="shared" si="64"/>
        <v>1</v>
      </c>
      <c r="AZ144" s="172">
        <f t="shared" si="64"/>
        <v>1</v>
      </c>
      <c r="BA144" s="172">
        <f t="shared" si="64"/>
        <v>2</v>
      </c>
      <c r="BB144" s="172">
        <f t="shared" si="64"/>
        <v>2</v>
      </c>
      <c r="BC144" s="172">
        <f t="shared" si="64"/>
        <v>2</v>
      </c>
      <c r="BD144" s="172">
        <f t="shared" si="64"/>
        <v>2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1</v>
      </c>
      <c r="BP144" s="172">
        <f t="shared" si="64"/>
        <v>0</v>
      </c>
      <c r="BQ144" s="172">
        <f t="shared" si="64"/>
        <v>0</v>
      </c>
      <c r="BR144" s="172">
        <f t="shared" si="64"/>
        <v>0</v>
      </c>
      <c r="BS144" s="172">
        <f t="shared" si="64"/>
        <v>0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22</v>
      </c>
      <c r="BB146" s="61">
        <f t="shared" si="70"/>
        <v>22</v>
      </c>
      <c r="BC146" s="61">
        <f t="shared" si="70"/>
        <v>22</v>
      </c>
      <c r="BD146" s="61">
        <f t="shared" si="70"/>
        <v>22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22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21</v>
      </c>
      <c r="BB147" s="189">
        <f>IF(BB146=0,0,HLOOKUP(BB146,[1]Trav!$C$39:$G$59,$AU$166))</f>
        <v>21</v>
      </c>
      <c r="BC147" s="189">
        <f>IF(BC146=0,0,HLOOKUP(BC146,[1]Trav!$C$39:$G$59,$AU$166))</f>
        <v>21</v>
      </c>
      <c r="BD147" s="189">
        <f>IF(BD146=0,0,HLOOKUP(BD146,[1]Trav!$C$39:$G$59,$AU$166))</f>
        <v>21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21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0</v>
      </c>
      <c r="AW152" s="172">
        <f t="shared" si="74"/>
        <v>0</v>
      </c>
      <c r="AX152" s="172">
        <f t="shared" si="74"/>
        <v>0</v>
      </c>
      <c r="AY152" s="172">
        <f t="shared" si="74"/>
        <v>0</v>
      </c>
      <c r="AZ152" s="172">
        <f t="shared" si="74"/>
        <v>0</v>
      </c>
      <c r="BA152" s="172">
        <f t="shared" si="74"/>
        <v>0</v>
      </c>
      <c r="BB152" s="172">
        <f t="shared" si="74"/>
        <v>0</v>
      </c>
      <c r="BC152" s="172">
        <f t="shared" si="74"/>
        <v>0</v>
      </c>
      <c r="BD152" s="172">
        <f t="shared" si="74"/>
        <v>0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0</v>
      </c>
      <c r="BP152" s="172">
        <f t="shared" si="74"/>
        <v>0</v>
      </c>
      <c r="BQ152" s="172">
        <f t="shared" si="74"/>
        <v>0</v>
      </c>
      <c r="BR152" s="172">
        <f t="shared" si="74"/>
        <v>0</v>
      </c>
      <c r="BS152" s="172">
        <f t="shared" si="74"/>
        <v>0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0</v>
      </c>
      <c r="AW154" s="172">
        <f t="shared" si="74"/>
        <v>0</v>
      </c>
      <c r="AX154" s="172">
        <f t="shared" si="74"/>
        <v>0</v>
      </c>
      <c r="AY154" s="172">
        <f t="shared" si="74"/>
        <v>0</v>
      </c>
      <c r="AZ154" s="172">
        <f t="shared" si="74"/>
        <v>0</v>
      </c>
      <c r="BA154" s="172">
        <f t="shared" si="74"/>
        <v>0</v>
      </c>
      <c r="BB154" s="172">
        <f t="shared" si="74"/>
        <v>0</v>
      </c>
      <c r="BC154" s="172">
        <f t="shared" si="74"/>
        <v>0</v>
      </c>
      <c r="BD154" s="172">
        <f t="shared" si="74"/>
        <v>0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0</v>
      </c>
      <c r="BP154" s="172">
        <f t="shared" si="74"/>
        <v>0</v>
      </c>
      <c r="BQ154" s="172">
        <f t="shared" si="74"/>
        <v>0</v>
      </c>
      <c r="BR154" s="172">
        <f t="shared" si="74"/>
        <v>0</v>
      </c>
      <c r="BS154" s="172">
        <f t="shared" si="74"/>
        <v>0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366.38608695652175</v>
      </c>
      <c r="AW160" s="61">
        <f t="shared" ref="AW160:BS160" si="83">SUM(AW151:AW159)</f>
        <v>363.47826086956525</v>
      </c>
      <c r="AX160" s="61">
        <f t="shared" si="83"/>
        <v>360.57043478260874</v>
      </c>
      <c r="AY160" s="61">
        <f t="shared" si="83"/>
        <v>359.11652173913046</v>
      </c>
      <c r="AZ160" s="61">
        <f t="shared" si="83"/>
        <v>357.66260869565218</v>
      </c>
      <c r="BA160" s="61">
        <f t="shared" si="83"/>
        <v>356.2086956521739</v>
      </c>
      <c r="BB160" s="61">
        <f t="shared" si="83"/>
        <v>354.75478260869568</v>
      </c>
      <c r="BC160" s="61">
        <f t="shared" si="83"/>
        <v>353.3008695652174</v>
      </c>
      <c r="BD160" s="61">
        <f t="shared" si="83"/>
        <v>350.39304347826089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306.7756521739131</v>
      </c>
      <c r="BP160" s="61">
        <f t="shared" si="83"/>
        <v>306.7756521739131</v>
      </c>
      <c r="BQ160" s="61">
        <f t="shared" si="83"/>
        <v>366.38608695652175</v>
      </c>
      <c r="BR160" s="61">
        <f t="shared" si="83"/>
        <v>366.38608695652175</v>
      </c>
      <c r="BS160" s="61">
        <f t="shared" si="83"/>
        <v>366.38608695652175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85.371116666226001</v>
      </c>
      <c r="D161" s="262">
        <f t="shared" si="50"/>
        <v>93.908228332848594</v>
      </c>
      <c r="AT161" s="188" t="s">
        <v>844</v>
      </c>
      <c r="AV161" s="172">
        <f>IF($AT$62="OL",AV160/50,AV160/10)</f>
        <v>7.3277217391304355</v>
      </c>
      <c r="AW161" s="172">
        <f t="shared" ref="AW161:BS161" si="86">IF($AT$62="OL",AW160/50,AW160/10)</f>
        <v>7.269565217391305</v>
      </c>
      <c r="AX161" s="172">
        <f t="shared" si="86"/>
        <v>7.2114086956521746</v>
      </c>
      <c r="AY161" s="172">
        <f t="shared" si="86"/>
        <v>7.1823304347826094</v>
      </c>
      <c r="AZ161" s="172">
        <f t="shared" si="86"/>
        <v>7.1532521739130432</v>
      </c>
      <c r="BA161" s="172">
        <f t="shared" si="86"/>
        <v>7.124173913043478</v>
      </c>
      <c r="BB161" s="172">
        <f t="shared" si="86"/>
        <v>7.0950956521739137</v>
      </c>
      <c r="BC161" s="172">
        <f t="shared" si="86"/>
        <v>7.0660173913043476</v>
      </c>
      <c r="BD161" s="172">
        <f t="shared" si="86"/>
        <v>7.007860869565218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6.1355130434782623</v>
      </c>
      <c r="BP161" s="172">
        <f t="shared" si="86"/>
        <v>6.1355130434782623</v>
      </c>
      <c r="BQ161" s="172">
        <f t="shared" si="86"/>
        <v>7.3277217391304355</v>
      </c>
      <c r="BR161" s="172">
        <f t="shared" si="86"/>
        <v>7.3277217391304355</v>
      </c>
      <c r="BS161" s="172">
        <f t="shared" si="86"/>
        <v>7.3277217391304355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131.26111547793394</v>
      </c>
      <c r="D162" s="262">
        <f t="shared" si="50"/>
        <v>144.38722702572733</v>
      </c>
      <c r="AT162" s="188" t="s">
        <v>846</v>
      </c>
      <c r="AV162" s="172">
        <f>IF(AV161&gt;1,AV161-1,0)</f>
        <v>6.3277217391304355</v>
      </c>
      <c r="AW162" s="172">
        <f t="shared" ref="AW162:BS162" si="89">IF(AW161&gt;1,AW161-1,0)</f>
        <v>6.269565217391305</v>
      </c>
      <c r="AX162" s="172">
        <f t="shared" si="89"/>
        <v>6.2114086956521746</v>
      </c>
      <c r="AY162" s="172">
        <f t="shared" si="89"/>
        <v>6.1823304347826094</v>
      </c>
      <c r="AZ162" s="172">
        <f t="shared" si="89"/>
        <v>6.1532521739130432</v>
      </c>
      <c r="BA162" s="172">
        <f t="shared" si="89"/>
        <v>6.124173913043478</v>
      </c>
      <c r="BB162" s="172">
        <f t="shared" si="89"/>
        <v>6.0950956521739137</v>
      </c>
      <c r="BC162" s="172">
        <f t="shared" si="89"/>
        <v>6.0660173913043476</v>
      </c>
      <c r="BD162" s="172">
        <f t="shared" si="89"/>
        <v>6.007860869565218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5.1355130434782623</v>
      </c>
      <c r="BP162" s="172">
        <f t="shared" si="89"/>
        <v>5.1355130434782623</v>
      </c>
      <c r="BQ162" s="172">
        <f t="shared" si="89"/>
        <v>6.3277217391304355</v>
      </c>
      <c r="BR162" s="172">
        <f t="shared" si="89"/>
        <v>6.3277217391304355</v>
      </c>
      <c r="BS162" s="172">
        <f t="shared" si="89"/>
        <v>6.3277217391304355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53.073513043478258</v>
      </c>
      <c r="AW163" s="61">
        <f t="shared" ref="AW163:BS163" si="92">AW147+AW148*AW162</f>
        <v>52.971739130434784</v>
      </c>
      <c r="AX163" s="61">
        <f t="shared" si="92"/>
        <v>52.869965217391304</v>
      </c>
      <c r="AY163" s="61">
        <f t="shared" si="92"/>
        <v>52.819078260869567</v>
      </c>
      <c r="AZ163" s="61">
        <f t="shared" si="92"/>
        <v>52.768191304347823</v>
      </c>
      <c r="BA163" s="61">
        <f t="shared" si="92"/>
        <v>31.717304347826087</v>
      </c>
      <c r="BB163" s="61">
        <f t="shared" si="92"/>
        <v>31.66641739130435</v>
      </c>
      <c r="BC163" s="61">
        <f t="shared" si="92"/>
        <v>31.615530434782606</v>
      </c>
      <c r="BD163" s="61">
        <f t="shared" si="92"/>
        <v>31.513756521739133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29.987147826086961</v>
      </c>
      <c r="BP163" s="61">
        <f t="shared" si="92"/>
        <v>50.987147826086961</v>
      </c>
      <c r="BQ163" s="61">
        <f t="shared" si="92"/>
        <v>53.073513043478258</v>
      </c>
      <c r="BR163" s="61">
        <f t="shared" si="92"/>
        <v>53.073513043478258</v>
      </c>
      <c r="BS163" s="61">
        <f t="shared" si="92"/>
        <v>53.073513043478258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69.613912320000011</v>
      </c>
      <c r="D165" s="262">
        <f t="shared" si="50"/>
        <v>76.575303552000008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44.426465544222225</v>
      </c>
      <c r="D166" s="262">
        <f t="shared" si="50"/>
        <v>48.86911209864445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0</v>
      </c>
      <c r="CM167" s="189">
        <f>IF(CM121&gt;0,HLOOKUP(CM121,[1]Trav!$C$11:$O$31,$AU$166),0)</f>
        <v>0</v>
      </c>
      <c r="CN167" s="189">
        <f>IF(CN121&gt;0,HLOOKUP(CN121,[1]Trav!$C$11:$O$31,$AU$166),0)</f>
        <v>0</v>
      </c>
      <c r="CO167" s="189">
        <f>IF(CO121&gt;0,HLOOKUP(CO121,[1]Trav!$C$11:$O$31,$AU$166),0)</f>
        <v>0</v>
      </c>
      <c r="CP167" s="189">
        <f>IF(CP121&gt;0,HLOOKUP(CP121,[1]Trav!$C$11:$O$31,$AU$166),0)</f>
        <v>0</v>
      </c>
      <c r="CQ167" s="189">
        <f>IF(CQ121&gt;0,HLOOKUP(CQ121,[1]Trav!$C$11:$O$31,$AU$166),0)</f>
        <v>0</v>
      </c>
      <c r="CR167" s="189">
        <f>IF(CR121&gt;0,HLOOKUP(CR121,[1]Trav!$C$11:$O$31,$AU$166),0)</f>
        <v>0</v>
      </c>
      <c r="CS167" s="189">
        <f>IF(CS121&gt;0,HLOOKUP(CS121,[1]Trav!$C$11:$O$31,$AU$166),0)</f>
        <v>0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28</v>
      </c>
      <c r="AW168" s="189">
        <f>IF(AW122&gt;0,HLOOKUP(AW122,[1]Trav!$C$11:$O$31,$AU$166),0)</f>
        <v>28</v>
      </c>
      <c r="AX168" s="189">
        <f>IF(AX122&gt;0,HLOOKUP(AX122,[1]Trav!$C$11:$O$31,$AU$166),0)</f>
        <v>28</v>
      </c>
      <c r="AY168" s="189">
        <f>IF(AY122&gt;0,HLOOKUP(AY122,[1]Trav!$C$11:$O$31,$AU$166),0)</f>
        <v>28</v>
      </c>
      <c r="AZ168" s="189">
        <f>IF(AZ122&gt;0,HLOOKUP(AZ122,[1]Trav!$C$11:$O$31,$AU$166),0)</f>
        <v>28</v>
      </c>
      <c r="BA168" s="189">
        <f>IF(BA122&gt;0,HLOOKUP(BA122,[1]Trav!$C$11:$O$31,$AU$166),0)</f>
        <v>28</v>
      </c>
      <c r="BB168" s="189">
        <f>IF(BB122&gt;0,HLOOKUP(BB122,[1]Trav!$C$11:$O$31,$AU$166),0)</f>
        <v>28</v>
      </c>
      <c r="BC168" s="189">
        <f>IF(BC122&gt;0,HLOOKUP(BC122,[1]Trav!$C$11:$O$31,$AU$166),0)</f>
        <v>28</v>
      </c>
      <c r="BD168" s="189">
        <f>IF(BD122&gt;0,HLOOKUP(BD122,[1]Trav!$C$11:$O$31,$AU$166),0)</f>
        <v>28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28</v>
      </c>
      <c r="BP168" s="189">
        <f>IF(BP122&gt;0,HLOOKUP(BP122,[1]Trav!$C$11:$O$31,$AU$166),0)</f>
        <v>28</v>
      </c>
      <c r="BQ168" s="189">
        <f>IF(BQ122&gt;0,HLOOKUP(BQ122,[1]Trav!$C$11:$O$31,$AU$166),0)</f>
        <v>28</v>
      </c>
      <c r="BR168" s="189">
        <f>IF(BR122&gt;0,HLOOKUP(BR122,[1]Trav!$C$11:$O$31,$AU$166),0)</f>
        <v>28</v>
      </c>
      <c r="BS168" s="189">
        <f>IF(BS122&gt;0,HLOOKUP(BS122,[1]Trav!$C$11:$O$31,$AU$166),0)</f>
        <v>28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116.41079000000001</v>
      </c>
      <c r="D169" s="262">
        <f t="shared" si="50"/>
        <v>128.05186900000001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14</v>
      </c>
      <c r="BB169" s="189">
        <f>IF(BB123&gt;0,HLOOKUP(BB123,[1]Trav!$C$11:$O$31,$AU$166),0)</f>
        <v>14</v>
      </c>
      <c r="BC169" s="189">
        <f>IF(BC123&gt;0,HLOOKUP(BC123,[1]Trav!$C$11:$O$31,$AU$166),0)</f>
        <v>14</v>
      </c>
      <c r="BD169" s="189">
        <f>IF(BD123&gt;0,HLOOKUP(BD123,[1]Trav!$C$11:$O$31,$AU$166),0)</f>
        <v>14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80.831019519965224</v>
      </c>
      <c r="D170" s="262">
        <f t="shared" si="50"/>
        <v>88.914121471961749</v>
      </c>
      <c r="AT170" s="188" t="str">
        <f t="shared" si="95"/>
        <v>beliers</v>
      </c>
      <c r="AV170" s="189">
        <f>IF(AV124&gt;0,HLOOKUP(AV124,[1]Trav!$C$11:$O$31,$AU$166),0)</f>
        <v>28</v>
      </c>
      <c r="AW170" s="189">
        <f>IF(AW124&gt;0,HLOOKUP(AW124,[1]Trav!$C$11:$O$31,$AU$166),0)</f>
        <v>28</v>
      </c>
      <c r="AX170" s="189">
        <f>IF(AX124&gt;0,HLOOKUP(AX124,[1]Trav!$C$11:$O$31,$AU$166),0)</f>
        <v>28</v>
      </c>
      <c r="AY170" s="189">
        <f>IF(AY124&gt;0,HLOOKUP(AY124,[1]Trav!$C$11:$O$31,$AU$166),0)</f>
        <v>28</v>
      </c>
      <c r="AZ170" s="189">
        <f>IF(AZ124&gt;0,HLOOKUP(AZ124,[1]Trav!$C$11:$O$31,$AU$166),0)</f>
        <v>28</v>
      </c>
      <c r="BA170" s="189">
        <f>IF(BA124&gt;0,HLOOKUP(BA124,[1]Trav!$C$11:$O$31,$AU$166),0)</f>
        <v>28</v>
      </c>
      <c r="BB170" s="189">
        <f>IF(BB124&gt;0,HLOOKUP(BB124,[1]Trav!$C$11:$O$31,$AU$166),0)</f>
        <v>28</v>
      </c>
      <c r="BC170" s="189">
        <f>IF(BC124&gt;0,HLOOKUP(BC124,[1]Trav!$C$11:$O$31,$AU$166),0)</f>
        <v>28</v>
      </c>
      <c r="BD170" s="189">
        <f>IF(BD124&gt;0,HLOOKUP(BD124,[1]Trav!$C$11:$O$31,$AU$166),0)</f>
        <v>28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28</v>
      </c>
      <c r="BP170" s="189">
        <f>IF(BP124&gt;0,HLOOKUP(BP124,[1]Trav!$C$11:$O$31,$AU$166),0)</f>
        <v>28</v>
      </c>
      <c r="BQ170" s="189">
        <f>IF(BQ124&gt;0,HLOOKUP(BQ124,[1]Trav!$C$11:$O$31,$AU$166),0)</f>
        <v>28</v>
      </c>
      <c r="BR170" s="189">
        <f>IF(BR124&gt;0,HLOOKUP(BR124,[1]Trav!$C$11:$O$31,$AU$166),0)</f>
        <v>28</v>
      </c>
      <c r="BS170" s="189">
        <f>IF(BS124&gt;0,HLOOKUP(BS124,[1]Trav!$C$11:$O$31,$AU$166),0)</f>
        <v>28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105.83154999999999</v>
      </c>
      <c r="D171" s="262">
        <f t="shared" si="50"/>
        <v>116.414705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175.7</v>
      </c>
      <c r="D172" s="262">
        <f t="shared" si="50"/>
        <v>193.26999999999998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35.579770480034782</v>
      </c>
      <c r="D173" s="262">
        <f t="shared" si="50"/>
        <v>39.137747528038254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69.400000000000006</v>
      </c>
      <c r="D174" s="262">
        <f t="shared" si="50"/>
        <v>76.34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-69.868449999999996</v>
      </c>
      <c r="D175" s="262">
        <f>C175*$D$82/$C$82</f>
        <v>-76.855294999999998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69.868449999999996</v>
      </c>
      <c r="D176" s="262">
        <f>C176*$D$82/$C$82</f>
        <v>76.855294999999998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73</v>
      </c>
      <c r="D178" s="172">
        <f>ROUND((D170+D171)/(D170+D172),2)*100</f>
        <v>73</v>
      </c>
      <c r="AT178" s="40" t="s">
        <v>865</v>
      </c>
      <c r="AV178" s="172">
        <f>SUM(AV167:AV176)</f>
        <v>56</v>
      </c>
      <c r="AW178" s="172">
        <f t="shared" ref="AW178:BS178" si="98">SUM(AW167:AW176)</f>
        <v>56</v>
      </c>
      <c r="AX178" s="172">
        <f t="shared" si="98"/>
        <v>56</v>
      </c>
      <c r="AY178" s="172">
        <f t="shared" si="98"/>
        <v>56</v>
      </c>
      <c r="AZ178" s="172">
        <f t="shared" si="98"/>
        <v>56</v>
      </c>
      <c r="BA178" s="172">
        <f t="shared" si="98"/>
        <v>84</v>
      </c>
      <c r="BB178" s="172">
        <f t="shared" si="98"/>
        <v>84</v>
      </c>
      <c r="BC178" s="172">
        <f t="shared" si="98"/>
        <v>84</v>
      </c>
      <c r="BD178" s="172">
        <f t="shared" si="98"/>
        <v>84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70</v>
      </c>
      <c r="BP178" s="172">
        <f t="shared" si="98"/>
        <v>56</v>
      </c>
      <c r="BQ178" s="172">
        <f t="shared" si="98"/>
        <v>56</v>
      </c>
      <c r="BR178" s="172">
        <f t="shared" si="98"/>
        <v>56</v>
      </c>
      <c r="BS178" s="172">
        <f t="shared" si="98"/>
        <v>56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28</v>
      </c>
      <c r="CM178" s="172">
        <f t="shared" si="99"/>
        <v>28</v>
      </c>
      <c r="CN178" s="172">
        <f t="shared" si="99"/>
        <v>28</v>
      </c>
      <c r="CO178" s="172">
        <f t="shared" si="99"/>
        <v>28</v>
      </c>
      <c r="CP178" s="172">
        <f t="shared" si="99"/>
        <v>28</v>
      </c>
      <c r="CQ178" s="172">
        <f t="shared" si="99"/>
        <v>28</v>
      </c>
      <c r="CR178" s="172">
        <f t="shared" si="99"/>
        <v>28</v>
      </c>
      <c r="CS178" s="172">
        <f t="shared" si="99"/>
        <v>28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7262</v>
      </c>
      <c r="D183" s="263">
        <f>ROUND(D184*D185,0)</f>
        <v>7994</v>
      </c>
      <c r="E183" s="17" t="s">
        <v>1295</v>
      </c>
    </row>
    <row r="184" spans="1:132" x14ac:dyDescent="0.25">
      <c r="B184" s="14" t="s">
        <v>1296</v>
      </c>
      <c r="C184" s="172">
        <f>Protection!AK26</f>
        <v>32.299999999999997</v>
      </c>
      <c r="D184" s="264">
        <f>C184*D82/C82</f>
        <v>35.53</v>
      </c>
    </row>
    <row r="185" spans="1:132" x14ac:dyDescent="0.25">
      <c r="B185" s="14" t="s">
        <v>1297</v>
      </c>
      <c r="C185" s="172">
        <f>IF(C183=0,0,ROUND(C183/C184,0))</f>
        <v>225</v>
      </c>
      <c r="D185" s="172">
        <f>C185</f>
        <v>225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1</v>
      </c>
      <c r="D187" s="172">
        <f>C187</f>
        <v>1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9</v>
      </c>
      <c r="D189" s="172">
        <f t="shared" si="101"/>
        <v>9</v>
      </c>
      <c r="AH189" s="15"/>
      <c r="AJ189" s="14" t="s">
        <v>1114</v>
      </c>
      <c r="AK189" s="30">
        <f>D189</f>
        <v>9</v>
      </c>
      <c r="AO189" s="172">
        <f>ROUND((([1]Protect!$B$5/[1]Protect!$B$11)+[1]Protect!$B$8)*AK189,0)</f>
        <v>8139</v>
      </c>
    </row>
    <row r="190" spans="1:132" x14ac:dyDescent="0.25">
      <c r="B190" s="14" t="s">
        <v>1302</v>
      </c>
      <c r="C190" s="172">
        <f>'Calcul éco'!T246*(30)</f>
        <v>90</v>
      </c>
      <c r="D190" s="172">
        <f>C190</f>
        <v>90</v>
      </c>
      <c r="AH190" s="15"/>
      <c r="AJ190" s="14" t="s">
        <v>1115</v>
      </c>
      <c r="AK190" s="30">
        <f>D190/30</f>
        <v>3</v>
      </c>
      <c r="AN190" s="172">
        <f>[1]Eco!$B$106*[1]Eco!$B$108*[1]Eco!$B$109</f>
        <v>2551.2000000000003</v>
      </c>
      <c r="AO190" s="172">
        <f>AK190*AN190</f>
        <v>7653.6</v>
      </c>
    </row>
    <row r="191" spans="1:132" x14ac:dyDescent="0.25">
      <c r="B191" s="14" t="s">
        <v>1303</v>
      </c>
      <c r="C191" s="197">
        <f>ROUND(SUM(Travail!F69:F74)/8,1)</f>
        <v>34.4</v>
      </c>
      <c r="D191" s="172">
        <f>C191</f>
        <v>34.4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84</v>
      </c>
      <c r="AN191" s="172">
        <f>[1]Eco!$B$111</f>
        <v>28.3</v>
      </c>
      <c r="AO191" s="172">
        <f>AK191*AN191</f>
        <v>2377.2000000000003</v>
      </c>
    </row>
    <row r="192" spans="1:132" x14ac:dyDescent="0.25">
      <c r="B192" s="14" t="s">
        <v>1307</v>
      </c>
      <c r="C192" s="172">
        <f>(Travail!F83+Travail!F84)/8</f>
        <v>1.0249999999999999</v>
      </c>
      <c r="D192" s="265">
        <f>ROUND((D183/1000)*([1]Protect!$B$25*8/10+[1]Protect!$B$26),2)/8</f>
        <v>1.1287499999999999</v>
      </c>
      <c r="E192" s="17" t="s">
        <v>1308</v>
      </c>
      <c r="I192" s="5"/>
      <c r="AN192" s="14" t="s">
        <v>1117</v>
      </c>
      <c r="AO192" s="172">
        <f>SUM(AO189:AO191)</f>
        <v>18169.8</v>
      </c>
    </row>
    <row r="193" spans="1:43" x14ac:dyDescent="0.25">
      <c r="B193" s="14" t="s">
        <v>1309</v>
      </c>
      <c r="C193" s="172">
        <f>(Travail!F75+Travail!F76+Travail!F81)/8</f>
        <v>30.9375</v>
      </c>
      <c r="D193" s="172">
        <f>C193</f>
        <v>30.9375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256.66666666666669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1</v>
      </c>
      <c r="AK201" s="172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2">
        <f>IF(AJ203=0,0,[1]Protect!B79)</f>
        <v>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10630</v>
      </c>
      <c r="D206" s="260">
        <f>ROUND(C206*D$82/C$82,0)</f>
        <v>11693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10000</v>
      </c>
      <c r="AQ207" s="5"/>
    </row>
    <row r="208" spans="1:43" x14ac:dyDescent="0.25">
      <c r="B208" s="210" t="s">
        <v>987</v>
      </c>
      <c r="C208" s="172">
        <f>ROUND('Calcul éco'!J44,0)</f>
        <v>7343</v>
      </c>
      <c r="D208" s="260">
        <f>ROUND(C208*D$82/C$82,0)</f>
        <v>8077</v>
      </c>
      <c r="S208" s="14" t="s">
        <v>978</v>
      </c>
      <c r="T208" s="30">
        <f>L212</f>
        <v>120.54900000000001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12500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10000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12500</v>
      </c>
      <c r="D210" s="263">
        <f>ROUND(AL207,0)</f>
        <v>10000</v>
      </c>
      <c r="E210" s="17" t="s">
        <v>1329</v>
      </c>
      <c r="K210" s="14" t="s">
        <v>990</v>
      </c>
      <c r="L210" s="172">
        <f>J221</f>
        <v>87.373000000000005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60183.199999999997</v>
      </c>
      <c r="D211" s="263">
        <f>ROUND(SUM(D201:D210),0)</f>
        <v>60601</v>
      </c>
      <c r="E211" s="17" t="s">
        <v>1331</v>
      </c>
      <c r="K211" s="40" t="s">
        <v>995</v>
      </c>
      <c r="L211" s="61">
        <f>L209+L210</f>
        <v>120.54900000000001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120.54900000000001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119.91</v>
      </c>
      <c r="AK216" s="172"/>
      <c r="AL216" s="172"/>
      <c r="AM216" s="172">
        <f>'Calcul éco'!W272</f>
        <v>6</v>
      </c>
      <c r="AN216" s="172">
        <f>AJ216*AM216</f>
        <v>719.46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1462.4259999999999</v>
      </c>
      <c r="D217" s="260">
        <f t="shared" si="106"/>
        <v>1609</v>
      </c>
      <c r="G217" s="19" t="s">
        <v>601</v>
      </c>
      <c r="H217" s="19" t="str">
        <f>Troupeau!C3</f>
        <v>BV</v>
      </c>
      <c r="I217" s="30">
        <f>'Calcul éco'!S51</f>
        <v>64</v>
      </c>
      <c r="J217" s="47">
        <f t="shared" ref="J217:J218" si="107">I217*D$82/C$82</f>
        <v>70.400000000000006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17113.86435</v>
      </c>
      <c r="D218" s="260">
        <f t="shared" si="106"/>
        <v>18825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2</v>
      </c>
      <c r="AK218" s="172"/>
      <c r="AL218" s="172"/>
      <c r="AM218" s="172">
        <f>'Calcul éco'!W274</f>
        <v>100</v>
      </c>
      <c r="AN218" s="172">
        <f>AJ218*AM218</f>
        <v>200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8139</v>
      </c>
      <c r="D219" s="260">
        <f t="shared" si="106"/>
        <v>8953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853.58</v>
      </c>
      <c r="D220" s="263">
        <f>SUM(AN215:AN219)</f>
        <v>919.46</v>
      </c>
      <c r="E220" s="17" t="s">
        <v>1345</v>
      </c>
      <c r="H220" s="14" t="s">
        <v>1000</v>
      </c>
      <c r="I220" s="30">
        <f>SUM(I216:I219)</f>
        <v>169</v>
      </c>
      <c r="J220" s="30">
        <f>SUM(J216:J219)</f>
        <v>185.9</v>
      </c>
    </row>
    <row r="221" spans="1:43" x14ac:dyDescent="0.25">
      <c r="B221" s="14" t="s">
        <v>1346</v>
      </c>
      <c r="C221" s="172">
        <f>ROUND(SUM(C216:C220),0)</f>
        <v>58209</v>
      </c>
      <c r="D221" s="263">
        <f>ROUND(SUM(D216:D220),0)</f>
        <v>64010</v>
      </c>
      <c r="E221" s="17" t="s">
        <v>1345</v>
      </c>
      <c r="H221" s="14" t="s">
        <v>1001</v>
      </c>
      <c r="I221" s="30">
        <f>I220*[1]Eco!$B$25</f>
        <v>79.429999999999993</v>
      </c>
      <c r="J221" s="30">
        <f>J220*[1]Eco!$B$25</f>
        <v>87.373000000000005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17.600000000000001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7994</v>
      </c>
      <c r="AL225" t="s">
        <v>1101</v>
      </c>
      <c r="AM225" s="172"/>
      <c r="AN225" s="172">
        <f>[1]Protect!$B$4</f>
        <v>6</v>
      </c>
      <c r="AO225" s="172">
        <f>AK225*AN225</f>
        <v>47964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1</v>
      </c>
      <c r="AN226" s="172">
        <f>[1]Protect!$B$83</f>
        <v>2000</v>
      </c>
      <c r="AO226" s="172">
        <f t="shared" ref="AO226:AO227" si="108">AK226*AN226</f>
        <v>2000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49964</v>
      </c>
      <c r="AQ228" s="30">
        <f>IF(Scénario!K84=1,MIN(0.8*AO228,[1]Protect!$B$68),IF(Scénario!K84=2,MIN(0.8*AO228,[1]Protect!$B$67),0))</f>
        <v>15500</v>
      </c>
      <c r="AR228" s="30">
        <f>AO228-AQ228</f>
        <v>34464</v>
      </c>
      <c r="AS228" s="30">
        <f>(1-Scénario!K127/100)*AR228</f>
        <v>34464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0</v>
      </c>
      <c r="D230" s="260">
        <f t="shared" si="109"/>
        <v>0</v>
      </c>
    </row>
    <row r="231" spans="1:49" x14ac:dyDescent="0.25">
      <c r="B231" s="14" t="s">
        <v>1083</v>
      </c>
      <c r="C231" s="172">
        <f>'Calcul éco'!J159</f>
        <v>0</v>
      </c>
      <c r="D231" s="260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0</v>
      </c>
      <c r="D233" s="260">
        <f t="shared" si="109"/>
        <v>0</v>
      </c>
    </row>
    <row r="234" spans="1:49" x14ac:dyDescent="0.25">
      <c r="B234" s="14" t="s">
        <v>1352</v>
      </c>
      <c r="C234" s="172">
        <f>'Calcul éco'!J166</f>
        <v>7653.6</v>
      </c>
      <c r="D234" s="172">
        <f>C234</f>
        <v>7653.6</v>
      </c>
    </row>
    <row r="235" spans="1:49" x14ac:dyDescent="0.25">
      <c r="B235" s="14" t="s">
        <v>1353</v>
      </c>
      <c r="C235" s="172">
        <f>'Calcul éco'!J167</f>
        <v>5380.9059999999999</v>
      </c>
      <c r="D235" s="263">
        <f>(D191+D192)*8*[1]Eco!$B$106</f>
        <v>3021.3649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37887</v>
      </c>
      <c r="D236" s="263">
        <f>ROUND(SUM(D222:D235),0)</f>
        <v>37395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25973.199999999997</v>
      </c>
      <c r="D237" s="263">
        <f>D194+D211-D221-D236</f>
        <v>27271</v>
      </c>
    </row>
    <row r="238" spans="1:49" x14ac:dyDescent="0.25">
      <c r="B238" s="210" t="s">
        <v>1090</v>
      </c>
      <c r="C238" s="172">
        <f>ROUND(C237/Scénario!$K$4,0)</f>
        <v>17315</v>
      </c>
      <c r="D238" s="263">
        <f>ROUND(D237/D83,0)</f>
        <v>13636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3707.6052778958656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11266</v>
      </c>
      <c r="D241" s="267">
        <f>ROUND(D237-D239-D240,0)</f>
        <v>16271</v>
      </c>
    </row>
    <row r="242" spans="1:15" x14ac:dyDescent="0.25">
      <c r="B242" s="210" t="s">
        <v>1094</v>
      </c>
      <c r="C242" s="172">
        <f>ROUND(C241/Scénario!K4,0)</f>
        <v>7511</v>
      </c>
      <c r="D242" s="263">
        <f>ROUND(D241/D83,0)</f>
        <v>8136</v>
      </c>
    </row>
    <row r="243" spans="1:15" x14ac:dyDescent="0.25">
      <c r="B243" s="210" t="s">
        <v>1357</v>
      </c>
      <c r="C243" s="172">
        <f>'Calcul éco'!X237+'Calcul éco'!X240</f>
        <v>45572</v>
      </c>
      <c r="D243" s="172">
        <f>C243</f>
        <v>45572</v>
      </c>
    </row>
    <row r="244" spans="1:15" x14ac:dyDescent="0.25">
      <c r="B244" s="210" t="s">
        <v>1358</v>
      </c>
      <c r="C244" s="172">
        <f>'Calcul éco'!AA237+'Calcul éco'!AA240</f>
        <v>30072</v>
      </c>
      <c r="D244" s="172">
        <f>C244</f>
        <v>30072</v>
      </c>
    </row>
    <row r="245" spans="1:15" x14ac:dyDescent="0.25">
      <c r="A245" s="2" t="s">
        <v>1359</v>
      </c>
      <c r="B245" s="14" t="s">
        <v>568</v>
      </c>
      <c r="C245" s="269">
        <f>Travail!F5</f>
        <v>1092</v>
      </c>
      <c r="D245" s="172">
        <f>C245</f>
        <v>1092</v>
      </c>
    </row>
    <row r="246" spans="1:15" x14ac:dyDescent="0.25">
      <c r="B246" s="14" t="s">
        <v>601</v>
      </c>
      <c r="C246" s="269">
        <f>Travail!F6</f>
        <v>134.4</v>
      </c>
      <c r="D246" s="172">
        <f t="shared" ref="D246:D247" si="112">C246</f>
        <v>134.4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858.85008695652186</v>
      </c>
      <c r="D248" s="263">
        <f>ROUND(SUM(AV163:BS163),1)</f>
        <v>879.6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672</v>
      </c>
      <c r="D251" s="172">
        <f>C251</f>
        <v>672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21.978000000000002</v>
      </c>
      <c r="L258" s="189">
        <f>IF(K258&gt;[1]Trav!E121,[1]Trav!C121,[1]Trav!B121)</f>
        <v>7.2</v>
      </c>
      <c r="N258" s="273"/>
      <c r="O258">
        <f t="shared" si="114"/>
        <v>158.24160000000001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13.31</v>
      </c>
      <c r="L259" s="189">
        <f>IF(K259&gt;[1]Trav!E121,[1]Trav!C121,[1]Trav!B121)</f>
        <v>7.2</v>
      </c>
      <c r="N259" s="273"/>
      <c r="O259">
        <f t="shared" si="114"/>
        <v>95.832000000000008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2.4420000000000002</v>
      </c>
      <c r="L261" s="189">
        <f>IF(K261&gt;[1]Trav!E122,[1]Trav!C122,[1]Trav!B122)</f>
        <v>4.4000000000000004</v>
      </c>
      <c r="M261" s="5"/>
      <c r="N261" s="273"/>
      <c r="O261">
        <f t="shared" si="114"/>
        <v>10.744800000000001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144</v>
      </c>
      <c r="D267" s="263">
        <f t="shared" si="116"/>
        <v>158</v>
      </c>
    </row>
    <row r="268" spans="1:15" x14ac:dyDescent="0.25">
      <c r="B268" s="32" t="s">
        <v>791</v>
      </c>
      <c r="C268" s="269">
        <f>Travail!F56</f>
        <v>87</v>
      </c>
      <c r="D268" s="263">
        <f t="shared" si="116"/>
        <v>96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10</v>
      </c>
      <c r="D270" s="263">
        <f t="shared" si="116"/>
        <v>11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275.2</v>
      </c>
      <c r="D275" s="172">
        <f>C275</f>
        <v>275.2</v>
      </c>
    </row>
    <row r="276" spans="1:4" x14ac:dyDescent="0.25">
      <c r="A276" s="23"/>
      <c r="B276" s="32" t="s">
        <v>1369</v>
      </c>
      <c r="C276" s="269">
        <f>C192*8</f>
        <v>8.1999999999999993</v>
      </c>
      <c r="D276" s="263">
        <f>D192*8</f>
        <v>9.0299999999999994</v>
      </c>
    </row>
    <row r="277" spans="1:4" x14ac:dyDescent="0.25">
      <c r="B277" s="32" t="s">
        <v>1420</v>
      </c>
      <c r="C277" s="269">
        <f>Travail!F75+Travail!F81</f>
        <v>223</v>
      </c>
      <c r="D277" s="172">
        <f>C277</f>
        <v>223</v>
      </c>
    </row>
    <row r="278" spans="1:4" x14ac:dyDescent="0.25">
      <c r="B278" s="32" t="s">
        <v>1421</v>
      </c>
      <c r="C278" s="269">
        <f>Travail!F76</f>
        <v>24.5</v>
      </c>
      <c r="D278" s="172">
        <f>C278</f>
        <v>24.5</v>
      </c>
    </row>
    <row r="279" spans="1:4" x14ac:dyDescent="0.25">
      <c r="B279" s="32" t="s">
        <v>1387</v>
      </c>
      <c r="C279" s="269">
        <f>Travail!F86</f>
        <v>720</v>
      </c>
      <c r="D279" s="269">
        <f>C279</f>
        <v>720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3803</v>
      </c>
      <c r="D281" s="263">
        <f>ROUND(D245+D248+D251+D254+D257+D260+D261,0)</f>
        <v>3920</v>
      </c>
    </row>
    <row r="282" spans="1:4" x14ac:dyDescent="0.25">
      <c r="B282" s="14" t="s">
        <v>1372</v>
      </c>
      <c r="C282" s="172">
        <f>ROUND(C246+C249+C252+C255+C258,0)</f>
        <v>740</v>
      </c>
      <c r="D282" s="263">
        <f>ROUND(D246+D249+D252+D255+D258,0)</f>
        <v>750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12.51</v>
      </c>
      <c r="D284" s="172">
        <f>ROUND(D281/(Troupeau!$B$17*G63),2)</f>
        <v>11.72</v>
      </c>
    </row>
    <row r="285" spans="1:4" x14ac:dyDescent="0.25">
      <c r="B285" s="14" t="s">
        <v>1375</v>
      </c>
      <c r="C285" s="172">
        <f>IF(Troupeau!$C$17=0,0,ROUND(C282/Troupeau!$C$17,2))</f>
        <v>32.17</v>
      </c>
      <c r="D285" s="172">
        <f>IF(Troupeau!$C$17=0,0,ROUND(D282/Troupeau!$C$17*G63,2))</f>
        <v>35.869999999999997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4543</v>
      </c>
      <c r="D287" s="263">
        <f>SUM(D281:D283)</f>
        <v>4670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308</v>
      </c>
      <c r="D289" s="263">
        <f>SUM(D262:D271)</f>
        <v>339</v>
      </c>
    </row>
    <row r="290" spans="2:4" x14ac:dyDescent="0.25">
      <c r="B290" s="14" t="s">
        <v>1422</v>
      </c>
      <c r="C290" s="269">
        <f>C275+C276+C277</f>
        <v>506.4</v>
      </c>
      <c r="D290" s="276">
        <f>D275+D276+D277</f>
        <v>507.22999999999996</v>
      </c>
    </row>
    <row r="291" spans="2:4" x14ac:dyDescent="0.25">
      <c r="B291" s="14" t="s">
        <v>1423</v>
      </c>
      <c r="C291" s="269">
        <f>C278+C279+C280</f>
        <v>744.5</v>
      </c>
      <c r="D291" s="269">
        <f>D278+D279+D280</f>
        <v>744.5</v>
      </c>
    </row>
    <row r="292" spans="2:4" x14ac:dyDescent="0.25">
      <c r="B292" s="14" t="s">
        <v>873</v>
      </c>
      <c r="C292" s="172">
        <f>ROUND(SUM(C287:C291),0)</f>
        <v>6702</v>
      </c>
      <c r="D292" s="263">
        <f>ROUND(SUM(D287:D291),0)</f>
        <v>6861</v>
      </c>
    </row>
    <row r="293" spans="2:4" x14ac:dyDescent="0.25">
      <c r="B293" s="14" t="s">
        <v>874</v>
      </c>
      <c r="C293" s="172">
        <f>ROUND(IF(Scénario!$K$129=1,SUM(C275:C280),SUM(C278:C280)),0)</f>
        <v>1251</v>
      </c>
      <c r="D293" s="172">
        <f>ROUND(IF(Scénario!$K$129=1,SUM(D275:D280),SUM(D278:D280)),0)</f>
        <v>1252</v>
      </c>
    </row>
    <row r="294" spans="2:4" x14ac:dyDescent="0.25">
      <c r="B294" s="14" t="s">
        <v>875</v>
      </c>
      <c r="C294" s="172">
        <f>ROUND((C292-C293)/C83,0)</f>
        <v>3634</v>
      </c>
      <c r="D294" s="172">
        <f>ROUND((D292-D293)/D83,0)</f>
        <v>2805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41.734130499965211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39.096889020000006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25.200000000000003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43572</v>
      </c>
    </row>
    <row r="308" spans="2:3" x14ac:dyDescent="0.25">
      <c r="B308" s="14" t="s">
        <v>1460</v>
      </c>
      <c r="C308" s="172">
        <f>'Calcul éco'!X235</f>
        <v>2000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90" activePane="bottomLeft" state="frozen"/>
      <selection pane="bottomLeft" activeCell="AB207" sqref="AB207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155">
        <v>0</v>
      </c>
      <c r="C53" s="155">
        <v>0</v>
      </c>
      <c r="D53" s="155">
        <v>0</v>
      </c>
      <c r="E53" s="155">
        <v>0</v>
      </c>
      <c r="F53" s="155">
        <v>0</v>
      </c>
      <c r="G53" s="155">
        <v>0</v>
      </c>
      <c r="H53" s="155">
        <v>0</v>
      </c>
      <c r="I53" s="155">
        <v>0</v>
      </c>
      <c r="J53" s="155">
        <v>0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155">
        <v>0</v>
      </c>
      <c r="V53" s="155">
        <v>0</v>
      </c>
      <c r="W53" s="155">
        <v>0</v>
      </c>
      <c r="X53" s="155">
        <v>0</v>
      </c>
      <c r="Y53" s="155">
        <v>0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0.5</v>
      </c>
      <c r="H54" s="59">
        <v>0.5</v>
      </c>
      <c r="I54" s="59">
        <v>0.5</v>
      </c>
      <c r="J54" s="59">
        <v>0.5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0.5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0</v>
      </c>
      <c r="C64" s="60">
        <f t="shared" si="19"/>
        <v>0</v>
      </c>
      <c r="D64" s="60">
        <f t="shared" si="19"/>
        <v>0</v>
      </c>
      <c r="E64" s="60">
        <f t="shared" si="19"/>
        <v>0</v>
      </c>
      <c r="F64" s="60">
        <f t="shared" si="19"/>
        <v>0</v>
      </c>
      <c r="G64" s="60">
        <f t="shared" si="19"/>
        <v>0</v>
      </c>
      <c r="H64" s="60">
        <f t="shared" si="19"/>
        <v>0</v>
      </c>
      <c r="I64" s="60">
        <f t="shared" si="19"/>
        <v>0</v>
      </c>
      <c r="J64" s="60">
        <f t="shared" si="19"/>
        <v>0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0</v>
      </c>
      <c r="V64" s="60">
        <f t="shared" si="19"/>
        <v>0</v>
      </c>
      <c r="W64" s="60">
        <f t="shared" si="19"/>
        <v>0</v>
      </c>
      <c r="X64" s="60">
        <f t="shared" si="19"/>
        <v>0</v>
      </c>
      <c r="Y64" s="60">
        <f t="shared" si="19"/>
        <v>0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14.914504347826087</v>
      </c>
      <c r="H65" s="60">
        <f t="shared" si="20"/>
        <v>14.433391304347827</v>
      </c>
      <c r="I65" s="60">
        <f t="shared" si="20"/>
        <v>14.433391304347827</v>
      </c>
      <c r="J65" s="60">
        <f t="shared" si="20"/>
        <v>37.286260869565226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0</v>
      </c>
      <c r="C66" s="60">
        <f t="shared" si="21"/>
        <v>0</v>
      </c>
      <c r="D66" s="60">
        <f t="shared" si="21"/>
        <v>0</v>
      </c>
      <c r="E66" s="60">
        <f t="shared" si="21"/>
        <v>0</v>
      </c>
      <c r="F66" s="60">
        <f t="shared" si="21"/>
        <v>0</v>
      </c>
      <c r="G66" s="60">
        <f t="shared" si="21"/>
        <v>0</v>
      </c>
      <c r="H66" s="60">
        <f t="shared" si="21"/>
        <v>0</v>
      </c>
      <c r="I66" s="60">
        <f t="shared" si="21"/>
        <v>0</v>
      </c>
      <c r="J66" s="60">
        <f t="shared" si="21"/>
        <v>0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0</v>
      </c>
      <c r="V66" s="60">
        <f t="shared" si="21"/>
        <v>0</v>
      </c>
      <c r="W66" s="60">
        <f t="shared" si="21"/>
        <v>0</v>
      </c>
      <c r="X66" s="60">
        <f t="shared" si="21"/>
        <v>0</v>
      </c>
      <c r="Y66" s="60">
        <f t="shared" si="21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603</v>
      </c>
      <c r="C73" s="63">
        <f t="shared" ref="C73:Y73" si="28">ROUND(SUM(C63:C72),0)</f>
        <v>598</v>
      </c>
      <c r="D73" s="63">
        <f t="shared" si="28"/>
        <v>535</v>
      </c>
      <c r="E73" s="63">
        <f t="shared" si="28"/>
        <v>280</v>
      </c>
      <c r="F73" s="63">
        <f t="shared" si="28"/>
        <v>308</v>
      </c>
      <c r="G73" s="63">
        <f t="shared" si="28"/>
        <v>292</v>
      </c>
      <c r="H73" s="63">
        <f t="shared" si="28"/>
        <v>281</v>
      </c>
      <c r="I73" s="63">
        <f t="shared" si="28"/>
        <v>280</v>
      </c>
      <c r="J73" s="63">
        <f t="shared" si="28"/>
        <v>308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303</v>
      </c>
      <c r="V73" s="63">
        <f t="shared" si="28"/>
        <v>586</v>
      </c>
      <c r="W73" s="63">
        <f t="shared" si="28"/>
        <v>584</v>
      </c>
      <c r="X73" s="63">
        <f t="shared" si="28"/>
        <v>603</v>
      </c>
      <c r="Y73" s="63">
        <f t="shared" si="28"/>
        <v>603</v>
      </c>
      <c r="Z73" s="51"/>
      <c r="AA73" s="55">
        <f>ROUND(SUM(B73:Y73),0)</f>
        <v>7352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2</v>
      </c>
      <c r="C77" s="59">
        <v>2</v>
      </c>
      <c r="D77" s="59">
        <v>2</v>
      </c>
      <c r="E77" s="59">
        <v>2</v>
      </c>
      <c r="F77" s="59">
        <v>3</v>
      </c>
      <c r="G77" s="59">
        <v>3</v>
      </c>
      <c r="H77" s="59">
        <v>3</v>
      </c>
      <c r="I77" s="59">
        <v>3</v>
      </c>
      <c r="J77" s="59">
        <v>3</v>
      </c>
      <c r="K77" s="59">
        <v>3</v>
      </c>
      <c r="L77" s="59">
        <v>3</v>
      </c>
      <c r="M77" s="59">
        <v>5</v>
      </c>
      <c r="N77" s="59">
        <v>5</v>
      </c>
      <c r="O77" s="59">
        <v>5</v>
      </c>
      <c r="P77" s="59">
        <v>5</v>
      </c>
      <c r="Q77" s="59">
        <v>5</v>
      </c>
      <c r="R77" s="59">
        <v>5</v>
      </c>
      <c r="S77" s="59">
        <v>5</v>
      </c>
      <c r="T77" s="59">
        <v>3</v>
      </c>
      <c r="U77" s="59">
        <v>3</v>
      </c>
      <c r="V77" s="59">
        <v>3</v>
      </c>
      <c r="W77" s="59">
        <v>3</v>
      </c>
      <c r="X77" s="59">
        <v>3</v>
      </c>
      <c r="Y77" s="59">
        <v>3</v>
      </c>
      <c r="AB77" t="s">
        <v>447</v>
      </c>
      <c r="AC77">
        <f>COUNTIF($B$76:$Y$85,"&gt;0")/2</f>
        <v>34.5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>
        <v>1</v>
      </c>
      <c r="H78" s="59">
        <v>1</v>
      </c>
      <c r="I78" s="59">
        <v>1</v>
      </c>
      <c r="J78" s="59">
        <v>1</v>
      </c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>
        <v>1</v>
      </c>
      <c r="V78" s="59"/>
      <c r="W78" s="59"/>
      <c r="X78" s="59"/>
      <c r="Y78" s="59"/>
      <c r="AB78">
        <v>1</v>
      </c>
      <c r="AC78">
        <f>COUNTIF($B$76:$Y$85,AB78)/2</f>
        <v>11.5</v>
      </c>
      <c r="AG78" s="5"/>
    </row>
    <row r="79" spans="1:33" x14ac:dyDescent="0.25">
      <c r="A79" s="126" t="str">
        <f>A$18</f>
        <v>beliers</v>
      </c>
      <c r="B79" s="59">
        <v>2</v>
      </c>
      <c r="C79" s="59">
        <v>2</v>
      </c>
      <c r="D79" s="59">
        <v>2</v>
      </c>
      <c r="E79" s="59">
        <v>2</v>
      </c>
      <c r="F79" s="59">
        <v>2</v>
      </c>
      <c r="G79" s="59">
        <v>2</v>
      </c>
      <c r="H79" s="59">
        <v>2</v>
      </c>
      <c r="I79" s="59">
        <v>2</v>
      </c>
      <c r="J79" s="59">
        <v>2</v>
      </c>
      <c r="K79" s="59">
        <v>2</v>
      </c>
      <c r="L79" s="59"/>
      <c r="M79" s="59"/>
      <c r="N79" s="59"/>
      <c r="O79" s="59"/>
      <c r="P79" s="59"/>
      <c r="Q79" s="59"/>
      <c r="R79" s="59"/>
      <c r="S79" s="59"/>
      <c r="T79" s="59"/>
      <c r="U79" s="59">
        <v>2</v>
      </c>
      <c r="V79" s="59">
        <v>2</v>
      </c>
      <c r="W79" s="59">
        <v>2</v>
      </c>
      <c r="X79" s="59">
        <v>2</v>
      </c>
      <c r="Y79" s="59">
        <v>2</v>
      </c>
      <c r="AB79" s="141">
        <v>2</v>
      </c>
      <c r="AC79">
        <f t="shared" ref="AC79:AC81" si="29">COUNTIF($B$76:$Y$85,AB79)/2</f>
        <v>9.5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6.5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>
        <v>0</v>
      </c>
      <c r="C125" s="59">
        <v>0</v>
      </c>
      <c r="D125" s="59">
        <v>0</v>
      </c>
      <c r="E125" s="59">
        <v>0</v>
      </c>
      <c r="F125" s="59">
        <v>0</v>
      </c>
      <c r="G125" s="59">
        <v>0.33</v>
      </c>
      <c r="H125" s="59">
        <v>0.33</v>
      </c>
      <c r="I125" s="59">
        <v>0.33</v>
      </c>
      <c r="J125" s="59">
        <v>0.5</v>
      </c>
      <c r="K125" s="59">
        <v>0.5</v>
      </c>
      <c r="L125" s="59">
        <v>0.5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0.33</v>
      </c>
      <c r="U125" s="59">
        <v>0.33</v>
      </c>
      <c r="V125" s="59">
        <v>0</v>
      </c>
      <c r="W125" s="59">
        <v>0</v>
      </c>
      <c r="X125" s="59">
        <v>0</v>
      </c>
      <c r="Y125" s="59">
        <v>0</v>
      </c>
    </row>
    <row r="126" spans="1:29" x14ac:dyDescent="0.25">
      <c r="A126" s="126" t="str">
        <f>A$18</f>
        <v>beliers</v>
      </c>
      <c r="B126" s="59">
        <v>1</v>
      </c>
      <c r="C126" s="59">
        <v>1</v>
      </c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0.5</v>
      </c>
      <c r="K126" s="59">
        <v>0.5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>
        <v>1</v>
      </c>
      <c r="V126" s="59">
        <v>1</v>
      </c>
      <c r="W126" s="59">
        <v>1</v>
      </c>
      <c r="X126" s="59">
        <v>1</v>
      </c>
      <c r="Y126" s="59">
        <v>1</v>
      </c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0.25981066573913042</v>
      </c>
      <c r="H138" s="60">
        <f t="shared" si="52"/>
        <v>0.25142967652173909</v>
      </c>
      <c r="I138" s="60">
        <f t="shared" si="52"/>
        <v>0.25142967652173909</v>
      </c>
      <c r="J138" s="60">
        <f t="shared" si="52"/>
        <v>0.48472139130434794</v>
      </c>
      <c r="K138" s="60">
        <f t="shared" si="52"/>
        <v>0.48472139130434794</v>
      </c>
      <c r="L138" s="60">
        <f t="shared" si="52"/>
        <v>0.46908521739130443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0.64952666434782613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5.8653790135652182</v>
      </c>
    </row>
    <row r="139" spans="1:31" x14ac:dyDescent="0.25">
      <c r="A139" s="126" t="str">
        <f>A$18</f>
        <v>beliers</v>
      </c>
      <c r="B139" s="60">
        <f t="shared" si="52"/>
        <v>0</v>
      </c>
      <c r="C139" s="60">
        <f t="shared" si="52"/>
        <v>0</v>
      </c>
      <c r="D139" s="60">
        <f t="shared" si="52"/>
        <v>0</v>
      </c>
      <c r="E139" s="60">
        <f t="shared" si="52"/>
        <v>0</v>
      </c>
      <c r="F139" s="60">
        <f t="shared" si="52"/>
        <v>0</v>
      </c>
      <c r="G139" s="60">
        <f t="shared" si="52"/>
        <v>0</v>
      </c>
      <c r="H139" s="60">
        <f t="shared" si="52"/>
        <v>0</v>
      </c>
      <c r="I139" s="60">
        <f t="shared" si="52"/>
        <v>0</v>
      </c>
      <c r="J139" s="60">
        <f t="shared" si="52"/>
        <v>0.11185878260869568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</v>
      </c>
      <c r="V139" s="60">
        <f t="shared" si="52"/>
        <v>0</v>
      </c>
      <c r="W139" s="60">
        <f t="shared" si="52"/>
        <v>0</v>
      </c>
      <c r="X139" s="60">
        <f t="shared" si="52"/>
        <v>0</v>
      </c>
      <c r="Y139" s="60">
        <f t="shared" si="52"/>
        <v>0</v>
      </c>
      <c r="AA139" s="60">
        <f t="shared" si="53"/>
        <v>0.11185878260869568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119.32828679812175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131.26111547793394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0.12796644730434786</v>
      </c>
      <c r="H151" s="60">
        <f t="shared" si="57"/>
        <v>0.12383849739130437</v>
      </c>
      <c r="I151" s="60">
        <f t="shared" si="57"/>
        <v>0.12383849739130437</v>
      </c>
      <c r="J151" s="60">
        <f t="shared" si="57"/>
        <v>0.48472139130434794</v>
      </c>
      <c r="K151" s="60">
        <f t="shared" si="57"/>
        <v>0.48472139130434794</v>
      </c>
      <c r="L151" s="60">
        <f t="shared" si="57"/>
        <v>0.46908521739130443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0.31991611826086974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0.22371756521739136</v>
      </c>
      <c r="C152" s="60">
        <f t="shared" si="58"/>
        <v>0.22371756521739136</v>
      </c>
      <c r="D152" s="60">
        <f t="shared" si="58"/>
        <v>0.20206747826086963</v>
      </c>
      <c r="E152" s="60">
        <f t="shared" si="58"/>
        <v>0.20206747826086963</v>
      </c>
      <c r="F152" s="60">
        <f t="shared" si="58"/>
        <v>0.22371756521739136</v>
      </c>
      <c r="G152" s="60">
        <f t="shared" si="58"/>
        <v>0.22371756521739136</v>
      </c>
      <c r="H152" s="60">
        <f t="shared" si="58"/>
        <v>0.21650086956521744</v>
      </c>
      <c r="I152" s="60">
        <f t="shared" si="58"/>
        <v>0.21650086956521744</v>
      </c>
      <c r="J152" s="60">
        <f t="shared" si="58"/>
        <v>0.11185878260869568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0.22371756521739136</v>
      </c>
      <c r="V152" s="60">
        <f t="shared" si="58"/>
        <v>0.21650086956521744</v>
      </c>
      <c r="W152" s="60">
        <f t="shared" si="58"/>
        <v>0.21650086956521744</v>
      </c>
      <c r="X152" s="60">
        <f t="shared" si="58"/>
        <v>0.22371756521739136</v>
      </c>
      <c r="Y152" s="60">
        <f t="shared" si="58"/>
        <v>0.22371756521739136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85.371116666226001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</v>
      </c>
      <c r="C163" s="60">
        <f t="shared" si="66"/>
        <v>0</v>
      </c>
      <c r="D163" s="60">
        <f t="shared" si="66"/>
        <v>0</v>
      </c>
      <c r="E163" s="60">
        <f t="shared" si="66"/>
        <v>0</v>
      </c>
      <c r="F163" s="60">
        <f t="shared" si="66"/>
        <v>0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</v>
      </c>
      <c r="Y163" s="60">
        <f t="shared" si="66"/>
        <v>0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0.12796644730434786</v>
      </c>
      <c r="H164" s="60">
        <f t="shared" si="67"/>
        <v>0.12383849739130437</v>
      </c>
      <c r="I164" s="60">
        <f t="shared" si="67"/>
        <v>0.12383849739130437</v>
      </c>
      <c r="J164" s="60">
        <f t="shared" si="67"/>
        <v>0.48472139130434794</v>
      </c>
      <c r="K164" s="60">
        <f t="shared" si="67"/>
        <v>0.48472139130434794</v>
      </c>
      <c r="L164" s="60">
        <f t="shared" si="67"/>
        <v>0.46908521739130443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0.31991611826086974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75">SUM(C162:C171)</f>
        <v>0</v>
      </c>
      <c r="D172" s="60">
        <f t="shared" si="75"/>
        <v>0</v>
      </c>
      <c r="E172" s="60">
        <f t="shared" si="75"/>
        <v>0</v>
      </c>
      <c r="F172" s="60">
        <f t="shared" si="75"/>
        <v>0</v>
      </c>
      <c r="G172" s="60">
        <f t="shared" si="75"/>
        <v>2.816595541565218</v>
      </c>
      <c r="H172" s="60">
        <f t="shared" si="75"/>
        <v>2.7122562782608712</v>
      </c>
      <c r="I172" s="60">
        <f t="shared" si="75"/>
        <v>2.6987749356521746</v>
      </c>
      <c r="J172" s="60">
        <f t="shared" si="75"/>
        <v>3.1176276027826098</v>
      </c>
      <c r="K172" s="60">
        <f t="shared" si="75"/>
        <v>3.2718837321739134</v>
      </c>
      <c r="L172" s="60">
        <f t="shared" si="75"/>
        <v>3.166339095652174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1.7648674307478269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</v>
      </c>
      <c r="Y172" s="60">
        <f t="shared" si="75"/>
        <v>0</v>
      </c>
      <c r="AA172" s="63">
        <f>SUM(B172:Y172)</f>
        <v>29.096493630400008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0.70843895652173916</v>
      </c>
      <c r="C176" s="60">
        <f t="shared" si="77"/>
        <v>0.70843895652173916</v>
      </c>
      <c r="D176" s="60">
        <f t="shared" si="77"/>
        <v>0.63988034782608705</v>
      </c>
      <c r="E176" s="60">
        <f t="shared" si="77"/>
        <v>0.63988034782608705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0.22371756521739136</v>
      </c>
      <c r="C178" s="60">
        <f t="shared" si="79"/>
        <v>0.22371756521739136</v>
      </c>
      <c r="D178" s="60">
        <f t="shared" si="79"/>
        <v>0.20206747826086963</v>
      </c>
      <c r="E178" s="60">
        <f t="shared" si="79"/>
        <v>0.20206747826086963</v>
      </c>
      <c r="F178" s="60">
        <f t="shared" si="79"/>
        <v>0.22371756521739136</v>
      </c>
      <c r="G178" s="60">
        <f t="shared" si="79"/>
        <v>0.22371756521739136</v>
      </c>
      <c r="H178" s="60">
        <f t="shared" si="79"/>
        <v>0.21650086956521744</v>
      </c>
      <c r="I178" s="60">
        <f t="shared" si="79"/>
        <v>0.21650086956521744</v>
      </c>
      <c r="J178" s="60">
        <f t="shared" si="79"/>
        <v>0.11185878260869568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0.22371756521739136</v>
      </c>
      <c r="V178" s="60">
        <f t="shared" si="79"/>
        <v>0.21650086956521744</v>
      </c>
      <c r="W178" s="60">
        <f t="shared" si="79"/>
        <v>0.21650086956521744</v>
      </c>
      <c r="X178" s="60">
        <f t="shared" si="79"/>
        <v>0.22371756521739136</v>
      </c>
      <c r="Y178" s="60">
        <f t="shared" si="79"/>
        <v>0.22371756521739136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0.93215652173913055</v>
      </c>
      <c r="C185" s="60">
        <f>SUM(CdTrp1!C175:C184)</f>
        <v>0.93215652173913055</v>
      </c>
      <c r="D185" s="60">
        <f>SUM(CdTrp1!D175:D184)</f>
        <v>0.84194782608695662</v>
      </c>
      <c r="E185" s="60">
        <f>SUM(CdTrp1!E175:E184)</f>
        <v>0.84194782608695662</v>
      </c>
      <c r="F185" s="60">
        <f>SUM(CdTrp1!F175:F184)</f>
        <v>0.22371756521739136</v>
      </c>
      <c r="G185" s="60">
        <f>SUM(CdTrp1!G175:G184)</f>
        <v>0.22371756521739136</v>
      </c>
      <c r="H185" s="60">
        <f>SUM(CdTrp1!H175:H184)</f>
        <v>0.21650086956521744</v>
      </c>
      <c r="I185" s="60">
        <f>SUM(CdTrp1!I175:I184)</f>
        <v>0.21650086956521744</v>
      </c>
      <c r="J185" s="60">
        <f>SUM(CdTrp1!J175:J184)</f>
        <v>0.11185878260869568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0.22371756521739136</v>
      </c>
      <c r="V185" s="60">
        <f>SUM(CdTrp1!V175:V184)</f>
        <v>0.21650086956521744</v>
      </c>
      <c r="W185" s="60">
        <f>SUM(CdTrp1!W175:W184)</f>
        <v>0.21650086956521744</v>
      </c>
      <c r="X185" s="60">
        <f>SUM(CdTrp1!X175:X184)</f>
        <v>0.22371756521739136</v>
      </c>
      <c r="Y185" s="60">
        <f>SUM(CdTrp1!Y175:Y184)</f>
        <v>0.22371756521739136</v>
      </c>
      <c r="AA185" s="63">
        <f>SUM(B185:Y185)</f>
        <v>5.6446587826086958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0.70843895652173916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0.70843895652173916</v>
      </c>
      <c r="Y189" s="60">
        <f t="shared" si="87"/>
        <v>0.70843895652173916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0.70843895652173916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0.70843895652173916</v>
      </c>
      <c r="Y198" s="60">
        <f t="shared" si="96"/>
        <v>0.70843895652173916</v>
      </c>
      <c r="AA198" s="63">
        <f>SUM(B198:Y198)</f>
        <v>6.9929780869565228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108">C172</f>
        <v>0</v>
      </c>
      <c r="D215" s="60">
        <f t="shared" si="108"/>
        <v>0</v>
      </c>
      <c r="E215" s="60">
        <f t="shared" si="108"/>
        <v>0</v>
      </c>
      <c r="F215" s="60">
        <f t="shared" si="108"/>
        <v>0</v>
      </c>
      <c r="G215" s="60">
        <f t="shared" si="108"/>
        <v>2.816595541565218</v>
      </c>
      <c r="H215" s="60">
        <f t="shared" si="108"/>
        <v>2.7122562782608712</v>
      </c>
      <c r="I215" s="60">
        <f t="shared" si="108"/>
        <v>2.6987749356521746</v>
      </c>
      <c r="J215" s="60">
        <f t="shared" si="108"/>
        <v>3.1176276027826098</v>
      </c>
      <c r="K215" s="60">
        <f t="shared" si="108"/>
        <v>3.2718837321739134</v>
      </c>
      <c r="L215" s="60">
        <f t="shared" si="108"/>
        <v>3.166339095652174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1.7648674307478269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</v>
      </c>
      <c r="Y215" s="60">
        <f t="shared" si="108"/>
        <v>0</v>
      </c>
    </row>
    <row r="216" spans="1:28" x14ac:dyDescent="0.25">
      <c r="A216" s="38" t="s">
        <v>218</v>
      </c>
      <c r="B216" s="60">
        <f>B185</f>
        <v>0.93215652173913055</v>
      </c>
      <c r="C216" s="60">
        <f t="shared" ref="C216:Y216" si="109">C185</f>
        <v>0.93215652173913055</v>
      </c>
      <c r="D216" s="60">
        <f t="shared" si="109"/>
        <v>0.84194782608695662</v>
      </c>
      <c r="E216" s="60">
        <f t="shared" si="109"/>
        <v>0.84194782608695662</v>
      </c>
      <c r="F216" s="60">
        <f t="shared" si="109"/>
        <v>0.22371756521739136</v>
      </c>
      <c r="G216" s="60">
        <f t="shared" si="109"/>
        <v>0.22371756521739136</v>
      </c>
      <c r="H216" s="60">
        <f t="shared" si="109"/>
        <v>0.21650086956521744</v>
      </c>
      <c r="I216" s="60">
        <f t="shared" si="109"/>
        <v>0.21650086956521744</v>
      </c>
      <c r="J216" s="60">
        <f t="shared" si="109"/>
        <v>0.11185878260869568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0.22371756521739136</v>
      </c>
      <c r="V216" s="60">
        <f t="shared" si="109"/>
        <v>0.21650086956521744</v>
      </c>
      <c r="W216" s="60">
        <f t="shared" si="109"/>
        <v>0.21650086956521744</v>
      </c>
      <c r="X216" s="60">
        <f t="shared" si="109"/>
        <v>0.22371756521739136</v>
      </c>
      <c r="Y216" s="60">
        <f t="shared" si="109"/>
        <v>0.22371756521739136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0.70843895652173916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0.70843895652173916</v>
      </c>
      <c r="Y217" s="60">
        <f t="shared" si="110"/>
        <v>0.70843895652173916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80.21495249648693</v>
      </c>
      <c r="AB219" t="s">
        <v>222</v>
      </c>
    </row>
    <row r="220" spans="1:28" x14ac:dyDescent="0.25">
      <c r="AA220" s="30">
        <f>SUM(B215:Y217)</f>
        <v>41.734130499965211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F4" sqref="AF4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5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2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2</v>
      </c>
      <c r="Q78" s="59">
        <v>2</v>
      </c>
      <c r="R78" s="59">
        <v>2</v>
      </c>
      <c r="S78" s="59">
        <v>2</v>
      </c>
      <c r="T78" s="59">
        <v>2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31.142832565925929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42.310919565925929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44.426465544222225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2.32254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69.613912320000011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0.18836999999999998</v>
      </c>
      <c r="M172" s="60">
        <f t="shared" si="57"/>
        <v>0.18836999999999998</v>
      </c>
      <c r="N172" s="60">
        <f t="shared" si="57"/>
        <v>0.19464899999999996</v>
      </c>
      <c r="O172" s="60">
        <f t="shared" si="57"/>
        <v>0.19464899999999996</v>
      </c>
      <c r="P172" s="60">
        <f t="shared" si="57"/>
        <v>0.19464899999999996</v>
      </c>
      <c r="Q172" s="60">
        <f t="shared" si="57"/>
        <v>0.19464899999999996</v>
      </c>
      <c r="R172" s="60">
        <f t="shared" si="57"/>
        <v>0.18836999999999998</v>
      </c>
      <c r="S172" s="60">
        <f t="shared" si="57"/>
        <v>0.18836999999999998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14.583673020000001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1.5571919999999997</v>
      </c>
      <c r="K177" s="60">
        <f t="shared" si="60"/>
        <v>0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0</v>
      </c>
      <c r="O177" s="60">
        <f t="shared" si="60"/>
        <v>0</v>
      </c>
      <c r="P177" s="60">
        <f t="shared" si="60"/>
        <v>1.5571919999999997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1.5069599999999999</v>
      </c>
      <c r="T177" s="60">
        <f t="shared" si="60"/>
        <v>1.5571919999999997</v>
      </c>
      <c r="U177" s="60">
        <f t="shared" si="60"/>
        <v>0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1.5571919999999997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1.5571919999999997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1.5571919999999997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18.284447999999998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1.5571919999999997</v>
      </c>
      <c r="L190" s="60">
        <f t="shared" si="70"/>
        <v>0</v>
      </c>
      <c r="M190" s="60">
        <f t="shared" si="70"/>
        <v>0</v>
      </c>
      <c r="N190" s="60">
        <f t="shared" si="70"/>
        <v>1.5571919999999997</v>
      </c>
      <c r="O190" s="60">
        <f t="shared" si="70"/>
        <v>1.5571919999999997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1.5571919999999997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1.5571919999999997</v>
      </c>
      <c r="L198" s="60">
        <f t="shared" si="78"/>
        <v>0</v>
      </c>
      <c r="M198" s="60">
        <f t="shared" si="78"/>
        <v>0</v>
      </c>
      <c r="N198" s="60">
        <f t="shared" si="78"/>
        <v>1.5571919999999997</v>
      </c>
      <c r="O198" s="60">
        <f t="shared" si="78"/>
        <v>1.5571919999999997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1.5571919999999997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6.2287679999999988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0.18836999999999998</v>
      </c>
      <c r="M215" s="60">
        <f t="shared" si="90"/>
        <v>0.18836999999999998</v>
      </c>
      <c r="N215" s="60">
        <f t="shared" si="90"/>
        <v>0.19464899999999996</v>
      </c>
      <c r="O215" s="60">
        <f t="shared" si="90"/>
        <v>0.19464899999999996</v>
      </c>
      <c r="P215" s="60">
        <f t="shared" si="90"/>
        <v>0.19464899999999996</v>
      </c>
      <c r="Q215" s="60">
        <f t="shared" si="90"/>
        <v>0.19464899999999996</v>
      </c>
      <c r="R215" s="60">
        <f t="shared" si="90"/>
        <v>0.18836999999999998</v>
      </c>
      <c r="S215" s="60">
        <f t="shared" si="90"/>
        <v>0.18836999999999998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1.5571919999999997</v>
      </c>
      <c r="K216" s="60">
        <f t="shared" si="91"/>
        <v>0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0</v>
      </c>
      <c r="O216" s="60">
        <f t="shared" si="91"/>
        <v>0</v>
      </c>
      <c r="P216" s="60">
        <f t="shared" si="91"/>
        <v>1.5571919999999997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1.5069599999999999</v>
      </c>
      <c r="T216" s="60">
        <f t="shared" si="91"/>
        <v>1.5571919999999997</v>
      </c>
      <c r="U216" s="60">
        <f t="shared" si="91"/>
        <v>0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1.5571919999999997</v>
      </c>
      <c r="L217" s="60">
        <f t="shared" si="92"/>
        <v>0</v>
      </c>
      <c r="M217" s="60">
        <f t="shared" si="92"/>
        <v>0</v>
      </c>
      <c r="N217" s="60">
        <f t="shared" si="92"/>
        <v>1.5571919999999997</v>
      </c>
      <c r="O217" s="60">
        <f t="shared" si="92"/>
        <v>1.5571919999999997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1.5571919999999997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39.096889020000006</v>
      </c>
      <c r="AB219" t="s">
        <v>222</v>
      </c>
    </row>
    <row r="220" spans="1:28" x14ac:dyDescent="0.25">
      <c r="AA220" s="30">
        <f>SUM(B215:Y217)</f>
        <v>39.096889020000006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2023-01-09T09:48:54Z</dcterms:modified>
</cp:coreProperties>
</file>