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69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I19" i="29" l="1"/>
  <c r="BJ11" i="29"/>
  <c r="BG17" i="29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W72" i="30"/>
  <c r="V72" i="30"/>
  <c r="U72" i="30"/>
  <c r="T72" i="30"/>
  <c r="S72" i="30"/>
  <c r="R72" i="30"/>
  <c r="Q72" i="30"/>
  <c r="P72" i="30"/>
  <c r="O72" i="30"/>
  <c r="N72" i="30"/>
  <c r="M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S12" i="29"/>
  <c r="R12" i="29"/>
  <c r="Q12" i="29"/>
  <c r="P12" i="29"/>
  <c r="O12" i="29"/>
  <c r="N12" i="29"/>
  <c r="S9" i="29"/>
  <c r="R9" i="29"/>
  <c r="Q9" i="29"/>
  <c r="P9" i="29"/>
  <c r="O9" i="29"/>
  <c r="N9" i="29"/>
  <c r="S8" i="29"/>
  <c r="R8" i="29"/>
  <c r="Q8" i="29"/>
  <c r="P8" i="29"/>
  <c r="O8" i="29"/>
  <c r="N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B106" i="30" l="1"/>
  <c r="BC106" i="30"/>
  <c r="BA106" i="30"/>
  <c r="AZ106" i="30"/>
  <c r="AY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M129" i="32" s="1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Z72" i="31" s="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Z71" i="31" s="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B73" i="31" s="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B72" i="31" s="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R93" i="30" s="1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Z93" i="30" s="1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U71" i="29" s="1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V20" i="29" s="1"/>
  <c r="V21" i="29" s="1"/>
  <c r="V7" i="29" s="1"/>
  <c r="V12" i="29" s="1"/>
  <c r="U84" i="29"/>
  <c r="T84" i="29"/>
  <c r="S84" i="29"/>
  <c r="S71" i="29" s="1"/>
  <c r="R84" i="29"/>
  <c r="Q84" i="29"/>
  <c r="P84" i="29"/>
  <c r="O84" i="29"/>
  <c r="N84" i="29"/>
  <c r="M84" i="29"/>
  <c r="M20" i="29" s="1"/>
  <c r="M21" i="29" s="1"/>
  <c r="M7" i="29" s="1"/>
  <c r="M12" i="29" s="1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C44" i="32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Z98" i="32"/>
  <c r="CL151" i="32"/>
  <c r="CX151" i="32"/>
  <c r="DC98" i="32"/>
  <c r="DF151" i="32"/>
  <c r="DN151" i="32"/>
  <c r="DV151" i="32"/>
  <c r="AE129" i="32"/>
  <c r="BJ153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AC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U129" i="32"/>
  <c r="Y129" i="32"/>
  <c r="AC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H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V72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J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69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I20" i="30"/>
  <c r="BI65" i="30" s="1"/>
  <c r="BK20" i="30"/>
  <c r="BL20" i="30"/>
  <c r="BM20" i="30"/>
  <c r="BM65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K65" i="30"/>
  <c r="BL65" i="30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BA93" i="30"/>
  <c r="BB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P20" i="29"/>
  <c r="P21" i="29" s="1"/>
  <c r="P7" i="29" s="1"/>
  <c r="Q20" i="29"/>
  <c r="Q21" i="29" s="1"/>
  <c r="Q7" i="29" s="1"/>
  <c r="R20" i="29"/>
  <c r="R21" i="29" s="1"/>
  <c r="R7" i="29" s="1"/>
  <c r="T20" i="29"/>
  <c r="T21" i="29" s="1"/>
  <c r="T7" i="29" s="1"/>
  <c r="T12" i="29" s="1"/>
  <c r="U20" i="29"/>
  <c r="U21" i="29" s="1"/>
  <c r="U7" i="29" s="1"/>
  <c r="U12" i="29" s="1"/>
  <c r="X20" i="29"/>
  <c r="X21" i="29" s="1"/>
  <c r="X7" i="29" s="1"/>
  <c r="X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69" i="28"/>
  <c r="W169" i="28"/>
  <c r="AA169" i="28"/>
  <c r="AC169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D44" i="32" l="1"/>
  <c r="D43" i="32"/>
  <c r="AA138" i="32"/>
  <c r="H20" i="29"/>
  <c r="H21" i="29" s="1"/>
  <c r="H7" i="29" s="1"/>
  <c r="H12" i="29" s="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16" i="30" s="1"/>
  <c r="T247" i="31" s="1"/>
  <c r="X247" i="31" s="1"/>
  <c r="F86" i="30"/>
  <c r="C279" i="32" s="1"/>
  <c r="D18" i="32"/>
  <c r="D20" i="32"/>
  <c r="D19" i="32"/>
  <c r="D1" i="32"/>
  <c r="Z191" i="31"/>
  <c r="AC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AC187" i="28" s="1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AA188" i="28" s="1"/>
  <c r="T188" i="28"/>
  <c r="W188" i="28" s="1"/>
  <c r="Z187" i="31"/>
  <c r="AC187" i="31" s="1"/>
  <c r="Y187" i="31"/>
  <c r="AB187" i="31" s="1"/>
  <c r="X187" i="31"/>
  <c r="AA187" i="31" s="1"/>
  <c r="T187" i="31"/>
  <c r="AJ187" i="31" s="1"/>
  <c r="Z168" i="31"/>
  <c r="AC168" i="31" s="1"/>
  <c r="Y168" i="31"/>
  <c r="AB168" i="31" s="1"/>
  <c r="T168" i="31"/>
  <c r="X168" i="31"/>
  <c r="AA168" i="31" s="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X190" i="31"/>
  <c r="AA190" i="31" s="1"/>
  <c r="X190" i="28"/>
  <c r="AA190" i="28" s="1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AA167" i="28"/>
  <c r="W167" i="28"/>
  <c r="AC167" i="28"/>
  <c r="AF167" i="28" s="1"/>
  <c r="AC165" i="31"/>
  <c r="AD165" i="31" s="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AC209" i="31"/>
  <c r="AE209" i="31" s="1"/>
  <c r="AB209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G106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69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K106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I106" i="30" s="1"/>
  <c r="BC26" i="30"/>
  <c r="AX26" i="30"/>
  <c r="AX71" i="30" s="1"/>
  <c r="BB60" i="30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4" i="29"/>
  <c r="S3" i="29"/>
  <c r="O5" i="29"/>
  <c r="O4" i="29"/>
  <c r="O3" i="29"/>
  <c r="K5" i="29"/>
  <c r="K9" i="29" s="1"/>
  <c r="K4" i="29"/>
  <c r="K3" i="29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N4" i="29"/>
  <c r="N3" i="29"/>
  <c r="N5" i="29"/>
  <c r="J4" i="29"/>
  <c r="J3" i="29"/>
  <c r="J5" i="29"/>
  <c r="J9" i="29" s="1"/>
  <c r="F4" i="29"/>
  <c r="F3" i="29"/>
  <c r="J72" i="30" s="1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O20" i="29"/>
  <c r="O21" i="29" s="1"/>
  <c r="O7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W192" i="31"/>
  <c r="AB190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V189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AD209" i="31" s="1"/>
  <c r="AH209" i="31" s="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U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A169" i="31"/>
  <c r="AD169" i="31" s="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M111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G191" i="31" l="1"/>
  <c r="U188" i="28"/>
  <c r="V188" i="28"/>
  <c r="AG188" i="28"/>
  <c r="V192" i="28"/>
  <c r="U192" i="28"/>
  <c r="AJ191" i="31"/>
  <c r="AI191" i="31"/>
  <c r="W191" i="31"/>
  <c r="AI188" i="28"/>
  <c r="AG192" i="28"/>
  <c r="AF188" i="28"/>
  <c r="V191" i="31"/>
  <c r="AI192" i="28"/>
  <c r="AF192" i="28"/>
  <c r="AF191" i="31"/>
  <c r="W192" i="28"/>
  <c r="Y8" i="29"/>
  <c r="AC72" i="30"/>
  <c r="Z72" i="30"/>
  <c r="V8" i="29"/>
  <c r="X8" i="29"/>
  <c r="AB72" i="30"/>
  <c r="AA72" i="30"/>
  <c r="W8" i="29"/>
  <c r="Z8" i="29"/>
  <c r="AD72" i="30"/>
  <c r="Y72" i="30"/>
  <c r="U8" i="29"/>
  <c r="X72" i="30"/>
  <c r="T8" i="29"/>
  <c r="T201" i="29" s="1"/>
  <c r="C8" i="29"/>
  <c r="G72" i="30"/>
  <c r="E16" i="29"/>
  <c r="L72" i="30"/>
  <c r="H8" i="29"/>
  <c r="K72" i="30"/>
  <c r="G8" i="29"/>
  <c r="G201" i="29" s="1"/>
  <c r="D8" i="29"/>
  <c r="D201" i="29" s="1"/>
  <c r="H72" i="30"/>
  <c r="E8" i="29"/>
  <c r="I72" i="30"/>
  <c r="AE191" i="28"/>
  <c r="AG187" i="31"/>
  <c r="AI192" i="31"/>
  <c r="V192" i="31"/>
  <c r="AG192" i="31"/>
  <c r="AJ192" i="31"/>
  <c r="U192" i="31"/>
  <c r="AD192" i="28"/>
  <c r="AH192" i="28" s="1"/>
  <c r="AE191" i="31"/>
  <c r="AD192" i="31"/>
  <c r="AH192" i="31" s="1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16" i="32"/>
  <c r="D113" i="32"/>
  <c r="D119" i="32"/>
  <c r="L8" i="29"/>
  <c r="L201" i="29" s="1"/>
  <c r="D182" i="32"/>
  <c r="AJ215" i="32" s="1"/>
  <c r="AN215" i="32" s="1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N41" i="29"/>
  <c r="N42" i="29" s="1"/>
  <c r="N28" i="29" s="1"/>
  <c r="AZ61" i="30"/>
  <c r="AZ107" i="30" s="1"/>
  <c r="CU84" i="30"/>
  <c r="CU82" i="30"/>
  <c r="BH60" i="30"/>
  <c r="BH106" i="30" s="1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1" i="30" s="1"/>
  <c r="BQ85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63" i="30"/>
  <c r="BC109" i="30" s="1"/>
  <c r="BN63" i="30"/>
  <c r="BN109" i="30" s="1"/>
  <c r="BN74" i="30"/>
  <c r="AX63" i="30"/>
  <c r="AX109" i="30" s="1"/>
  <c r="AX74" i="30"/>
  <c r="AX82" i="30" s="1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M81" i="30" s="1"/>
  <c r="BR61" i="30"/>
  <c r="BR107" i="30" s="1"/>
  <c r="BR72" i="30"/>
  <c r="AV72" i="30"/>
  <c r="AV82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P81" i="30" s="1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BA81" i="30" s="1"/>
  <c r="AY60" i="30"/>
  <c r="AY71" i="30"/>
  <c r="BC60" i="30"/>
  <c r="BC71" i="30"/>
  <c r="AZ71" i="30"/>
  <c r="AZ81" i="30" s="1"/>
  <c r="BH82" i="30"/>
  <c r="BL60" i="30"/>
  <c r="BL106" i="30" s="1"/>
  <c r="BN71" i="30"/>
  <c r="BN60" i="30"/>
  <c r="BN106" i="30" s="1"/>
  <c r="BE60" i="30"/>
  <c r="BE106" i="30" s="1"/>
  <c r="BE71" i="30"/>
  <c r="BE84" i="30" s="1"/>
  <c r="BJ60" i="30"/>
  <c r="BJ106" i="30" s="1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6" i="29"/>
  <c r="U10" i="29" s="1"/>
  <c r="U181" i="29"/>
  <c r="U196" i="29" s="1"/>
  <c r="Y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BC84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E18" i="29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" i="29"/>
  <c r="W201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AK224" i="32"/>
  <c r="AO224" i="32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X18" i="29" l="1"/>
  <c r="BQ82" i="30"/>
  <c r="AK231" i="32"/>
  <c r="AO231" i="32" s="1"/>
  <c r="AR231" i="32" s="1"/>
  <c r="AS231" i="32" s="1"/>
  <c r="AT231" i="32" s="1"/>
  <c r="AW231" i="32" s="1"/>
  <c r="F181" i="29"/>
  <c r="F196" i="29" s="1"/>
  <c r="J76" i="30" s="1"/>
  <c r="F72" i="30"/>
  <c r="AW87" i="30"/>
  <c r="AW86" i="30"/>
  <c r="BM83" i="30"/>
  <c r="BM85" i="30" s="1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202" i="29"/>
  <c r="N213" i="29" s="1"/>
  <c r="R18" i="29"/>
  <c r="U202" i="29"/>
  <c r="U213" i="29" s="1"/>
  <c r="U18" i="29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BC85" i="30"/>
  <c r="AX117" i="30"/>
  <c r="I5" i="30" s="1"/>
  <c r="BR83" i="30"/>
  <c r="BP82" i="30"/>
  <c r="BF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N22" i="29"/>
  <c r="N180" i="29"/>
  <c r="N195" i="29" s="1"/>
  <c r="R75" i="30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M180" i="29"/>
  <c r="M195" i="29" s="1"/>
  <c r="Q75" i="30" s="1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P22" i="29"/>
  <c r="P180" i="29"/>
  <c r="P195" i="29" s="1"/>
  <c r="T75" i="30" s="1"/>
  <c r="F201" i="29"/>
  <c r="T6" i="29"/>
  <c r="T10" i="29" s="1"/>
  <c r="T181" i="29"/>
  <c r="T196" i="29" s="1"/>
  <c r="X76" i="30" s="1"/>
  <c r="R22" i="29"/>
  <c r="R180" i="29"/>
  <c r="R195" i="29" s="1"/>
  <c r="V75" i="30" s="1"/>
  <c r="U22" i="29"/>
  <c r="U180" i="29"/>
  <c r="U195" i="29" s="1"/>
  <c r="Y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AX85" i="30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W102" i="30" l="1"/>
  <c r="H9" i="30" s="1"/>
  <c r="B109" i="30"/>
  <c r="B112" i="30" s="1"/>
  <c r="C191" i="32"/>
  <c r="AI228" i="31"/>
  <c r="C133" i="31" s="1"/>
  <c r="J133" i="31" s="1"/>
  <c r="BL87" i="30"/>
  <c r="BL86" i="30"/>
  <c r="BC87" i="30"/>
  <c r="BC86" i="30"/>
  <c r="BB87" i="30"/>
  <c r="BB86" i="30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B155" i="31" s="1"/>
  <c r="I155" i="31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Y77" i="30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J154" i="31"/>
  <c r="C227" i="32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M102" i="30" l="1"/>
  <c r="X9" i="30" s="1"/>
  <c r="BH102" i="30"/>
  <c r="S9" i="30" s="1"/>
  <c r="BC102" i="30"/>
  <c r="N9" i="30" s="1"/>
  <c r="B149" i="31"/>
  <c r="J149" i="31" s="1"/>
  <c r="BF102" i="30"/>
  <c r="Q9" i="30" s="1"/>
  <c r="Q13" i="30" s="1"/>
  <c r="AD31" i="29"/>
  <c r="T236" i="31" s="1"/>
  <c r="T235" i="31"/>
  <c r="C275" i="32"/>
  <c r="D191" i="32"/>
  <c r="BI102" i="30"/>
  <c r="T9" i="30" s="1"/>
  <c r="T13" i="30" s="1"/>
  <c r="BB102" i="30"/>
  <c r="M9" i="30" s="1"/>
  <c r="M13" i="30" s="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D275" i="32" l="1"/>
  <c r="T274" i="31"/>
  <c r="X274" i="31" s="1"/>
  <c r="C187" i="32"/>
  <c r="X235" i="31"/>
  <c r="C308" i="32" s="1"/>
  <c r="X236" i="31"/>
  <c r="C309" i="32" s="1"/>
  <c r="T275" i="31"/>
  <c r="X275" i="31" s="1"/>
  <c r="C188" i="32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D188" i="32" l="1"/>
  <c r="D187" i="32"/>
  <c r="AJ8" i="29"/>
  <c r="D222" i="32"/>
  <c r="AJ5" i="29"/>
  <c r="X249" i="31" s="1"/>
  <c r="V264" i="31" s="1"/>
  <c r="V263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AJ218" i="32" l="1"/>
  <c r="AN218" i="32" s="1"/>
  <c r="AK226" i="32"/>
  <c r="AO226" i="32" s="1"/>
  <c r="AK227" i="32"/>
  <c r="AO227" i="32" s="1"/>
  <c r="AJ219" i="32"/>
  <c r="AN219" i="32" s="1"/>
  <c r="B81" i="30"/>
  <c r="F81" i="30" s="1"/>
  <c r="B114" i="30" s="1"/>
  <c r="T245" i="31"/>
  <c r="F75" i="30"/>
  <c r="F76" i="30"/>
  <c r="F77" i="30"/>
  <c r="B129" i="30" s="1"/>
  <c r="C289" i="32"/>
  <c r="V265" i="31"/>
  <c r="J46" i="31" s="1"/>
  <c r="C210" i="32" s="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J77" i="32" s="1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I77" i="32" s="1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G64" i="32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H77" i="32" s="1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F64" i="32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AV68" i="32"/>
  <c r="AV79" i="32" s="1"/>
  <c r="BI67" i="32"/>
  <c r="BI78" i="32" s="1"/>
  <c r="AY67" i="32"/>
  <c r="BL66" i="32"/>
  <c r="BL77" i="32" s="1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BK77" i="32" s="1"/>
  <c r="AZ66" i="32"/>
  <c r="AZ153" i="32" s="1"/>
  <c r="BM65" i="32"/>
  <c r="BD65" i="32"/>
  <c r="AV65" i="32"/>
  <c r="BL64" i="32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O67" i="32"/>
  <c r="BQ66" i="32"/>
  <c r="BQ77" i="32" s="1"/>
  <c r="AV66" i="32"/>
  <c r="AV153" i="32" s="1"/>
  <c r="BA65" i="32"/>
  <c r="BI64" i="32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M67" i="32"/>
  <c r="BP66" i="32"/>
  <c r="BP77" i="32" s="1"/>
  <c r="BS65" i="32"/>
  <c r="AZ65" i="32"/>
  <c r="BH64" i="32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G79" i="32" l="1"/>
  <c r="BG155" i="32"/>
  <c r="BL79" i="32"/>
  <c r="BL155" i="32"/>
  <c r="BH79" i="32"/>
  <c r="BH125" i="32" s="1"/>
  <c r="BH171" i="32" s="1"/>
  <c r="BH155" i="32"/>
  <c r="BJ79" i="32"/>
  <c r="BJ155" i="32"/>
  <c r="BI79" i="32"/>
  <c r="BI155" i="32"/>
  <c r="BK79" i="32"/>
  <c r="BK155" i="32"/>
  <c r="BA76" i="32"/>
  <c r="BA133" i="32" s="1"/>
  <c r="BA152" i="32"/>
  <c r="BL75" i="32"/>
  <c r="BL151" i="32"/>
  <c r="BL160" i="32" s="1"/>
  <c r="BL161" i="32" s="1"/>
  <c r="BL162" i="32" s="1"/>
  <c r="BS78" i="32"/>
  <c r="BS154" i="32"/>
  <c r="AY78" i="32"/>
  <c r="AY154" i="32"/>
  <c r="BF75" i="32"/>
  <c r="BF121" i="32" s="1"/>
  <c r="BF167" i="32" s="1"/>
  <c r="BF151" i="32"/>
  <c r="BP76" i="32"/>
  <c r="BP152" i="32"/>
  <c r="AY76" i="32"/>
  <c r="AY152" i="32"/>
  <c r="BN78" i="32"/>
  <c r="BN154" i="32"/>
  <c r="BD78" i="32"/>
  <c r="BD124" i="32" s="1"/>
  <c r="BD170" i="32" s="1"/>
  <c r="BD154" i="32"/>
  <c r="AV76" i="32"/>
  <c r="AV152" i="32"/>
  <c r="BJ75" i="32"/>
  <c r="BJ151" i="32"/>
  <c r="BP78" i="32"/>
  <c r="BP154" i="32"/>
  <c r="BC76" i="32"/>
  <c r="BC152" i="32"/>
  <c r="AV78" i="32"/>
  <c r="AV154" i="32"/>
  <c r="BR78" i="32"/>
  <c r="BR154" i="32"/>
  <c r="BH75" i="32"/>
  <c r="BH151" i="32"/>
  <c r="BD76" i="32"/>
  <c r="BD122" i="32" s="1"/>
  <c r="BD168" i="32" s="1"/>
  <c r="BD152" i="32"/>
  <c r="BD160" i="32" s="1"/>
  <c r="BD161" i="32" s="1"/>
  <c r="BD162" i="32" s="1"/>
  <c r="BM75" i="32"/>
  <c r="BM151" i="32"/>
  <c r="BN75" i="32"/>
  <c r="BN132" i="32" s="1"/>
  <c r="BN151" i="32"/>
  <c r="BA78" i="32"/>
  <c r="BA154" i="32"/>
  <c r="AZ76" i="32"/>
  <c r="AZ152" i="32"/>
  <c r="BO78" i="32"/>
  <c r="BO154" i="32"/>
  <c r="BM76" i="32"/>
  <c r="BM133" i="32" s="1"/>
  <c r="BM152" i="32"/>
  <c r="AW76" i="32"/>
  <c r="AW152" i="32"/>
  <c r="BS76" i="32"/>
  <c r="BS122" i="32" s="1"/>
  <c r="BS168" i="32" s="1"/>
  <c r="BS152" i="32"/>
  <c r="BS160" i="32" s="1"/>
  <c r="BS161" i="32" s="1"/>
  <c r="BS162" i="32" s="1"/>
  <c r="BE76" i="32"/>
  <c r="BE152" i="32"/>
  <c r="AX76" i="32"/>
  <c r="AX133" i="32" s="1"/>
  <c r="AX152" i="32"/>
  <c r="BG75" i="32"/>
  <c r="BG151" i="32"/>
  <c r="BG160" i="32" s="1"/>
  <c r="BG161" i="32" s="1"/>
  <c r="BG162" i="32" s="1"/>
  <c r="BQ76" i="32"/>
  <c r="BQ133" i="32" s="1"/>
  <c r="BQ152" i="32"/>
  <c r="BN76" i="32"/>
  <c r="BN152" i="32"/>
  <c r="AX78" i="32"/>
  <c r="AX124" i="32" s="1"/>
  <c r="AX170" i="32" s="1"/>
  <c r="AX154" i="32"/>
  <c r="BO76" i="32"/>
  <c r="BO152" i="32"/>
  <c r="BB76" i="32"/>
  <c r="BB133" i="32" s="1"/>
  <c r="BB152" i="32"/>
  <c r="BK75" i="32"/>
  <c r="BK151" i="32"/>
  <c r="BK160" i="32" s="1"/>
  <c r="BK161" i="32" s="1"/>
  <c r="BK162" i="32" s="1"/>
  <c r="BQ78" i="32"/>
  <c r="BQ124" i="32" s="1"/>
  <c r="BQ170" i="32" s="1"/>
  <c r="BQ154" i="32"/>
  <c r="BR76" i="32"/>
  <c r="BR152" i="32"/>
  <c r="BB78" i="32"/>
  <c r="BB124" i="32" s="1"/>
  <c r="BB170" i="32" s="1"/>
  <c r="BB154" i="32"/>
  <c r="BC78" i="32"/>
  <c r="BC154" i="32"/>
  <c r="BM78" i="32"/>
  <c r="BM124" i="32" s="1"/>
  <c r="BM170" i="32" s="1"/>
  <c r="BM154" i="32"/>
  <c r="AW78" i="32"/>
  <c r="AW154" i="32"/>
  <c r="BF76" i="32"/>
  <c r="BF133" i="32" s="1"/>
  <c r="BF152" i="32"/>
  <c r="AZ78" i="32"/>
  <c r="AZ154" i="32"/>
  <c r="BF78" i="32"/>
  <c r="BF124" i="32" s="1"/>
  <c r="BF170" i="32" s="1"/>
  <c r="BF154" i="32"/>
  <c r="BI75" i="32"/>
  <c r="BI151" i="32"/>
  <c r="BI160" i="32" s="1"/>
  <c r="BI161" i="32" s="1"/>
  <c r="BI162" i="32" s="1"/>
  <c r="BE78" i="32"/>
  <c r="BE154" i="32"/>
  <c r="B113" i="30"/>
  <c r="B125" i="30" s="1"/>
  <c r="C278" i="32"/>
  <c r="C277" i="32"/>
  <c r="C193" i="32"/>
  <c r="X245" i="31"/>
  <c r="C189" i="32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CH123" i="32"/>
  <c r="CH169" i="32" s="1"/>
  <c r="CH134" i="32"/>
  <c r="DY122" i="32"/>
  <c r="DY168" i="32" s="1"/>
  <c r="DY133" i="32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BP124" i="32"/>
  <c r="BP170" i="32" s="1"/>
  <c r="BP135" i="32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AW124" i="32"/>
  <c r="AW170" i="32" s="1"/>
  <c r="AW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BM132" i="32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N121" i="32"/>
  <c r="BN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BE124" i="32"/>
  <c r="BE170" i="32" s="1"/>
  <c r="BE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BN124" i="32"/>
  <c r="BN170" i="32" s="1"/>
  <c r="BN135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AV124" i="32"/>
  <c r="AV170" i="32" s="1"/>
  <c r="AV135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EB124" i="32"/>
  <c r="EB170" i="32" s="1"/>
  <c r="EB135" i="32"/>
  <c r="DL124" i="32"/>
  <c r="DL170" i="32" s="1"/>
  <c r="DL135" i="32"/>
  <c r="CN124" i="32"/>
  <c r="CN170" i="32" s="1"/>
  <c r="CN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Z160" i="32" l="1"/>
  <c r="AZ161" i="32" s="1"/>
  <c r="AZ162" i="32" s="1"/>
  <c r="BC160" i="32"/>
  <c r="BC161" i="32" s="1"/>
  <c r="BC162" i="32" s="1"/>
  <c r="BE160" i="32"/>
  <c r="BE161" i="32" s="1"/>
  <c r="BE162" i="32" s="1"/>
  <c r="BS133" i="32"/>
  <c r="BH136" i="32"/>
  <c r="BF132" i="32"/>
  <c r="BF142" i="32" s="1"/>
  <c r="BA122" i="32"/>
  <c r="BA168" i="32" s="1"/>
  <c r="BA160" i="32"/>
  <c r="BA161" i="32" s="1"/>
  <c r="BA162" i="32" s="1"/>
  <c r="BF122" i="32"/>
  <c r="BF168" i="32" s="1"/>
  <c r="BB122" i="32"/>
  <c r="BB168" i="32" s="1"/>
  <c r="AV160" i="32"/>
  <c r="AV161" i="32" s="1"/>
  <c r="AV162" i="32" s="1"/>
  <c r="AW160" i="32"/>
  <c r="AW161" i="32" s="1"/>
  <c r="AW162" i="32" s="1"/>
  <c r="BH160" i="32"/>
  <c r="BH161" i="32" s="1"/>
  <c r="BH162" i="32" s="1"/>
  <c r="BB160" i="32"/>
  <c r="BB161" i="32" s="1"/>
  <c r="BB162" i="32" s="1"/>
  <c r="BO160" i="32"/>
  <c r="BO161" i="32" s="1"/>
  <c r="BO162" i="32" s="1"/>
  <c r="BF160" i="32"/>
  <c r="BF161" i="32" s="1"/>
  <c r="BF162" i="32" s="1"/>
  <c r="BQ160" i="32"/>
  <c r="BQ161" i="32" s="1"/>
  <c r="BQ162" i="32" s="1"/>
  <c r="BJ160" i="32"/>
  <c r="BJ161" i="32" s="1"/>
  <c r="BJ162" i="32" s="1"/>
  <c r="AY160" i="32"/>
  <c r="AY161" i="32" s="1"/>
  <c r="AY162" i="32" s="1"/>
  <c r="BP160" i="32"/>
  <c r="BP161" i="32" s="1"/>
  <c r="BP162" i="32" s="1"/>
  <c r="AX160" i="32"/>
  <c r="AX161" i="32" s="1"/>
  <c r="AX162" i="32" s="1"/>
  <c r="BF135" i="32"/>
  <c r="BM160" i="32"/>
  <c r="BM161" i="32" s="1"/>
  <c r="BM162" i="32" s="1"/>
  <c r="BN160" i="32"/>
  <c r="BN161" i="32" s="1"/>
  <c r="BN162" i="32" s="1"/>
  <c r="BM122" i="32"/>
  <c r="BM168" i="32" s="1"/>
  <c r="BM135" i="32"/>
  <c r="BQ135" i="32"/>
  <c r="BR160" i="32"/>
  <c r="BR161" i="32" s="1"/>
  <c r="BR162" i="32" s="1"/>
  <c r="D189" i="32"/>
  <c r="AK189" i="32" s="1"/>
  <c r="AO189" i="32" s="1"/>
  <c r="AO192" i="32" s="1"/>
  <c r="AL208" i="32" s="1"/>
  <c r="D193" i="32"/>
  <c r="D277" i="32"/>
  <c r="J141" i="31"/>
  <c r="C219" i="32" s="1"/>
  <c r="X248" i="31"/>
  <c r="C291" i="32"/>
  <c r="D278" i="32"/>
  <c r="D291" i="32" s="1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BN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BE142" i="32"/>
  <c r="BE144" i="32"/>
  <c r="BE143" i="32"/>
  <c r="BE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3" i="32"/>
  <c r="BP145" i="32"/>
  <c r="BP144" i="32"/>
  <c r="BP142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4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F143" i="32" l="1"/>
  <c r="BF145" i="32"/>
  <c r="BF144" i="32"/>
  <c r="BQ144" i="32"/>
  <c r="AL209" i="32"/>
  <c r="AL207" i="32" s="1"/>
  <c r="D210" i="32" s="1"/>
  <c r="D219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BE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BF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N146" i="32" l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8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D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L79" i="31" l="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R191" i="18"/>
  <c r="Q191" i="18"/>
  <c r="P191" i="18"/>
  <c r="O191" i="18"/>
  <c r="N191" i="18"/>
  <c r="M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C204" i="18" l="1"/>
  <c r="C191" i="18"/>
  <c r="W204" i="18"/>
  <c r="W191" i="18"/>
  <c r="W198" i="18" s="1"/>
  <c r="W217" i="18" s="1"/>
  <c r="AB7" i="22" s="1"/>
  <c r="BN17" i="23" s="1"/>
  <c r="BN37" i="23" s="1"/>
  <c r="D204" i="18"/>
  <c r="D191" i="18"/>
  <c r="D198" i="18" s="1"/>
  <c r="D217" i="18" s="1"/>
  <c r="I7" i="22" s="1"/>
  <c r="AU17" i="23" s="1"/>
  <c r="AU39" i="23" s="1"/>
  <c r="G204" i="18"/>
  <c r="G211" i="18" s="1"/>
  <c r="G218" i="18" s="1"/>
  <c r="L9" i="22" s="1"/>
  <c r="G191" i="18"/>
  <c r="G198" i="18" s="1"/>
  <c r="G217" i="18" s="1"/>
  <c r="L7" i="22" s="1"/>
  <c r="AX17" i="23" s="1"/>
  <c r="AX39" i="23" s="1"/>
  <c r="S204" i="18"/>
  <c r="S191" i="18"/>
  <c r="E204" i="18"/>
  <c r="E191" i="18"/>
  <c r="E198" i="18" s="1"/>
  <c r="E217" i="18" s="1"/>
  <c r="J7" i="22" s="1"/>
  <c r="AV17" i="23" s="1"/>
  <c r="AV39" i="23" s="1"/>
  <c r="T204" i="18"/>
  <c r="T191" i="18"/>
  <c r="T198" i="18" s="1"/>
  <c r="T217" i="18" s="1"/>
  <c r="Y7" i="22" s="1"/>
  <c r="BK17" i="23" s="1"/>
  <c r="BK37" i="23" s="1"/>
  <c r="X204" i="18"/>
  <c r="X191" i="18"/>
  <c r="X198" i="18" s="1"/>
  <c r="X217" i="18" s="1"/>
  <c r="AC7" i="22" s="1"/>
  <c r="BO17" i="23" s="1"/>
  <c r="BO38" i="23" s="1"/>
  <c r="Y204" i="18"/>
  <c r="Y191" i="18"/>
  <c r="U204" i="18"/>
  <c r="U191" i="18"/>
  <c r="U198" i="18" s="1"/>
  <c r="U217" i="18" s="1"/>
  <c r="Z7" i="22" s="1"/>
  <c r="BL17" i="23" s="1"/>
  <c r="BL37" i="23" s="1"/>
  <c r="Y198" i="18"/>
  <c r="Y217" i="18" s="1"/>
  <c r="AD7" i="22" s="1"/>
  <c r="BP17" i="23" s="1"/>
  <c r="BP38" i="23" s="1"/>
  <c r="F204" i="18"/>
  <c r="F211" i="18" s="1"/>
  <c r="F218" i="18" s="1"/>
  <c r="K9" i="22" s="1"/>
  <c r="F191" i="18"/>
  <c r="F198" i="18" s="1"/>
  <c r="F217" i="18" s="1"/>
  <c r="K7" i="22" s="1"/>
  <c r="AW17" i="23" s="1"/>
  <c r="AW39" i="23" s="1"/>
  <c r="V204" i="18"/>
  <c r="V211" i="18" s="1"/>
  <c r="V218" i="18" s="1"/>
  <c r="AA9" i="22" s="1"/>
  <c r="V191" i="18"/>
  <c r="C183" i="32"/>
  <c r="T234" i="31"/>
  <c r="B83" i="30"/>
  <c r="AK26" i="29"/>
  <c r="C184" i="32" s="1"/>
  <c r="H198" i="18"/>
  <c r="H217" i="18" s="1"/>
  <c r="M7" i="22" s="1"/>
  <c r="AY17" i="23" s="1"/>
  <c r="AY35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F165" i="18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D184" i="32" l="1"/>
  <c r="F84" i="30"/>
  <c r="F83" i="30"/>
  <c r="T272" i="31"/>
  <c r="X272" i="31" s="1"/>
  <c r="J142" i="31" s="1"/>
  <c r="C220" i="32" s="1"/>
  <c r="X234" i="31"/>
  <c r="C185" i="32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89" i="18" s="1"/>
  <c r="AA120" i="18"/>
  <c r="T171" i="18"/>
  <c r="T172" i="18" s="1"/>
  <c r="B204" i="18" l="1"/>
  <c r="B191" i="18"/>
  <c r="B198" i="18"/>
  <c r="B217" i="18" s="1"/>
  <c r="G7" i="22" s="1"/>
  <c r="AS17" i="23" s="1"/>
  <c r="AS38" i="23" s="1"/>
  <c r="BR38" i="23" s="1"/>
  <c r="G93" i="23" s="1"/>
  <c r="G95" i="23" s="1"/>
  <c r="D185" i="32"/>
  <c r="D183" i="32" s="1"/>
  <c r="D192" i="32" s="1"/>
  <c r="D235" i="32" s="1"/>
  <c r="D236" i="32" s="1"/>
  <c r="X237" i="31"/>
  <c r="C307" i="32"/>
  <c r="C192" i="32"/>
  <c r="B115" i="30"/>
  <c r="B126" i="30" s="1"/>
  <c r="B167" i="31"/>
  <c r="J167" i="31" s="1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D161" i="32" s="1"/>
  <c r="T215" i="18"/>
  <c r="Y5" i="22" s="1"/>
  <c r="AA198" i="18" l="1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B128" i="30"/>
  <c r="B130" i="30" s="1"/>
  <c r="D276" i="32"/>
  <c r="C276" i="32"/>
  <c r="C293" i="32" s="1"/>
  <c r="C235" i="32"/>
  <c r="J170" i="31"/>
  <c r="Z237" i="31"/>
  <c r="AA237" i="31" s="1"/>
  <c r="C243" i="32"/>
  <c r="D290" i="32"/>
  <c r="D292" i="32" s="1"/>
  <c r="D293" i="32"/>
  <c r="C4" i="22"/>
  <c r="C7" i="22" s="1"/>
  <c r="K25" i="23" s="1"/>
  <c r="C172" i="32" s="1"/>
  <c r="C162" i="32"/>
  <c r="D162" i="32" s="1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90" i="32" l="1"/>
  <c r="D243" i="32"/>
  <c r="C236" i="32"/>
  <c r="C292" i="32"/>
  <c r="AB237" i="31"/>
  <c r="AC237" i="31" s="1"/>
  <c r="AF237" i="31" s="1"/>
  <c r="B178" i="31" s="1"/>
  <c r="C240" i="32" s="1"/>
  <c r="C244" i="32"/>
  <c r="D294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244" i="32" l="1"/>
  <c r="C294" i="32"/>
  <c r="D175" i="32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176" i="32" l="1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<sst xmlns="http://schemas.openxmlformats.org/spreadsheetml/2006/main" count="3007" uniqueCount="1449">
  <si>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</si>
  <si>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</si>
  <si>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</si>
  <si>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</si>
  <si>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</si>
  <si>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</si>
  <si>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</si>
  <si>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</si>
  <si>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</si>
  <si>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</si>
  <si>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</si>
  <si>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</si>
  <si>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</si>
  <si>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</si>
  <si>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</si>
  <si>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</si>
  <si>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</si>
  <si>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</si>
  <si>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</si>
  <si>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</si>
  <si>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</si>
  <si>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</si>
  <si>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</si>
  <si>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</si>
  <si>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</si>
  <si>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</si>
  <si>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</si>
  <si>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</si>
  <si>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</si>
  <si>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</si>
  <si>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</si>
  <si>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</si>
  <si>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</si>
  <si>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</si>
  <si>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</si>
  <si>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</si>
  <si>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</si>
  <si>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</si>
  <si>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</si>
  <si>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</si>
  <si>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</si>
  <si>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</si>
  <si>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</si>
  <si>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</si>
  <si>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</si>
  <si>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</si>
  <si>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</si>
  <si>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</si>
  <si>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</si>
  <si>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</si>
  <si>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</si>
  <si>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</si>
  <si>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</si>
  <si>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</si>
  <si>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</si>
  <si>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</si>
  <si>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</si>
  <si>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</si>
  <si>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</si>
  <si>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</si>
  <si>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</si>
  <si>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</si>
  <si>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</si>
  <si>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</si>
  <si>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</si>
  <si>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</si>
  <si>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</si>
  <si>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</si>
  <si>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</si>
  <si>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</si>
  <si>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</si>
  <si>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</si>
  <si>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</si>
  <si>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</si>
  <si>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</si>
  <si>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</si>
  <si>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</si>
  <si>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</si>
  <si>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</si>
  <si>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</si>
  <si>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</si>
  <si>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</si>
  <si>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</si>
  <si>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</si>
  <si>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</si>
  <si>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</si>
  <si>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</si>
  <si>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</si>
  <si>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</si>
  <si>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</si>
  <si>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</si>
  <si>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</si>
  <si>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</si>
  <si>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</si>
  <si>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</si>
  <si>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</si>
  <si>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</si>
  <si>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</si>
  <si>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</si>
  <si>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</si>
  <si>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</si>
  <si>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</si>
  <si>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</si>
  <si>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</si>
  <si>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</si>
  <si>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</si>
  <si>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</si>
  <si>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</si>
  <si>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</si>
  <si>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</si>
  <si>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</si>
  <si>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</si>
  <si>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</si>
  <si>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</si>
  <si>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</si>
  <si>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</si>
  <si>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</si>
  <si>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</si>
  <si>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</si>
  <si>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</si>
  <si>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</si>
  <si>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</si>
  <si>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</si>
  <si>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</si>
  <si>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</si>
  <si>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</si>
  <si>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</si>
  <si>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</si>
  <si>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</si>
  <si>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</si>
  <si>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</si>
  <si>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</si>
  <si>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</si>
  <si>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</si>
  <si>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</si>
  <si>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</si>
  <si>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</si>
  <si>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</si>
  <si>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</si>
  <si>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</si>
  <si>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</si>
  <si>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</si>
  <si>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</si>
  <si>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</si>
  <si>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</si>
  <si>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</si>
  <si>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</si>
  <si>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</si>
  <si>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</si>
  <si>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</si>
  <si>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</si>
  <si>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</si>
  <si>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</si>
  <si>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</si>
  <si>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</si>
  <si>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</si>
  <si>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</si>
  <si>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</si>
  <si>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</si>
  <si>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</si>
  <si>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</si>
  <si>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</si>
  <si>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</si>
  <si>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</si>
  <si>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</si>
  <si>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</si>
  <si>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</si>
  <si>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</si>
  <si>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</si>
  <si>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</si>
  <si>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</si>
  <si>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</si>
  <si>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</si>
  <si>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</si>
  <si>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</si>
  <si>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</si>
  <si>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</si>
  <si>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</si>
  <si>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</si>
  <si>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</si>
  <si>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</si>
  <si>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</si>
  <si>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</si>
  <si>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</si>
  <si>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</si>
  <si>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</si>
  <si>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</si>
  <si>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</si>
  <si>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</si>
  <si>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</si>
  <si>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</si>
  <si>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</si>
  <si>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</si>
  <si>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</si>
  <si>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</si>
  <si>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</si>
  <si>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</si>
  <si>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</si>
  <si>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</si>
  <si>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</si>
  <si>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</si>
  <si>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</si>
  <si>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</si>
  <si>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</si>
  <si>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</si>
  <si>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</si>
  <si>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</si>
  <si>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</si>
  <si>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</si>
  <si>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</si>
  <si>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</si>
  <si>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</si>
  <si>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</si>
  <si>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</si>
  <si>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</si>
  <si>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</si>
  <si>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</si>
  <si>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</si>
  <si>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</si>
  <si>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</si>
  <si>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</si>
  <si>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</si>
  <si>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</si>
  <si>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</si>
  <si>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</si>
  <si>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</si>
  <si>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</si>
  <si>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</si>
  <si>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</si>
  <si>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</si>
  <si>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</si>
  <si>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</si>
  <si>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</si>
  <si>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</si>
  <si>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</si>
  <si>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</si>
  <si>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</si>
  <si>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</si>
  <si>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</si>
  <si>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</si>
  <si>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</si>
  <si>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</si>
  <si>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</si>
  <si>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</si>
  <si>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</si>
  <si>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</si>
  <si>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</si>
  <si>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</si>
  <si>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</si>
  <si>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</si>
  <si>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</si>
  <si>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</si>
  <si>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</si>
  <si>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</si>
  <si>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</si>
  <si>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</si>
  <si>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</si>
  <si>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</si>
  <si>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</si>
  <si>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</si>
  <si>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</si>
  <si>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</si>
  <si>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</si>
  <si>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</si>
  <si>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</si>
  <si>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</si>
  <si>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</si>
  <si>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</si>
  <si>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</si>
  <si>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</si>
  <si>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</si>
  <si>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</si>
  <si>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</si>
  <si>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</si>
  <si>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</si>
  <si>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</si>
  <si>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</si>
  <si>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</si>
  <si>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</si>
  <si>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</si>
  <si>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</si>
  <si>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</si>
  <si>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</si>
  <si>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</si>
  <si>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</si>
  <si>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</si>
  <si>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</si>
  <si>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</si>
  <si>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</si>
  <si>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</si>
  <si>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</si>
  <si>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</si>
  <si>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</si>
  <si>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</si>
  <si>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</si>
  <si>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</si>
  <si>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</si>
  <si>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</si>
  <si>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</si>
  <si>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</si>
  <si>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</si>
  <si>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</si>
  <si>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</si>
  <si>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</si>
  <si>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</si>
  <si>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</si>
  <si>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</si>
  <si>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</si>
  <si>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</si>
  <si>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</si>
  <si>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</si>
  <si>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</si>
  <si>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</si>
  <si>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</si>
  <si>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</si>
  <si>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</si>
  <si>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</si>
  <si>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</si>
  <si>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</si>
  <si>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</si>
  <si>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</si>
  <si>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</si>
  <si>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</si>
  <si>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</si>
  <si>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</si>
  <si>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</si>
  <si>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</si>
  <si>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</si>
  <si>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</si>
  <si>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</si>
  <si>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</si>
  <si>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</si>
  <si>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</si>
  <si>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</si>
  <si>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</si>
  <si>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</si>
  <si>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</si>
  <si>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</si>
  <si>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</si>
  <si>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</si>
  <si>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</si>
  <si>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</si>
  <si>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</si>
  <si>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</si>
  <si>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</si>
  <si>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</si>
  <si>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</si>
  <si>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</si>
  <si>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</si>
  <si>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</si>
  <si>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</si>
  <si>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</si>
  <si>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</si>
  <si>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</si>
  <si>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</si>
  <si>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</si>
  <si>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</si>
  <si>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</si>
  <si>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</si>
  <si>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</si>
  <si>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</si>
  <si>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</si>
  <si>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</si>
  <si>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</si>
  <si>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</si>
  <si>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</si>
  <si>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</si>
  <si>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</si>
  <si>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</si>
  <si>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</si>
  <si>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</si>
  <si>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</si>
  <si>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</si>
  <si>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</si>
  <si>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</si>
  <si>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</si>
  <si>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</si>
  <si>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</si>
  <si>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</si>
  <si>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</si>
  <si>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</si>
  <si>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</si>
  <si>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</si>
  <si>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</si>
  <si>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</si>
  <si>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</si>
  <si>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</si>
  <si>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</si>
  <si>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</si>
  <si>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</si>
  <si>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</si>
  <si>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</si>
  <si>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</si>
  <si>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</si>
  <si>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</si>
  <si>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</si>
  <si>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</si>
  <si>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</si>
  <si>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</si>
  <si>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</si>
  <si>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</si>
  <si>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</si>
  <si>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</si>
  <si>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</si>
  <si>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</si>
  <si>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</si>
  <si>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</si>
  <si>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</si>
  <si>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</si>
  <si>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</si>
  <si>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</si>
  <si>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</si>
  <si>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</si>
  <si>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</si>
  <si>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</si>
  <si>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</si>
  <si>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</si>
  <si>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</si>
  <si>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</si>
  <si>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</si>
  <si>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</si>
  <si>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</si>
  <si>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</si>
  <si>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</si>
  <si>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</si>
  <si>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</si>
  <si>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</si>
  <si>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</si>
  <si>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</si>
  <si>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</si>
  <si>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</si>
  <si>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</si>
  <si>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</si>
  <si>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</si>
  <si>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</si>
  <si>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</si>
  <si>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</si>
  <si>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</si>
  <si>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</si>
  <si>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</si>
  <si>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</si>
  <si>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</si>
  <si>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</si>
  <si>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</si>
  <si>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</si>
  <si>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</si>
  <si>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</si>
  <si>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</si>
  <si>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</si>
  <si>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</si>
  <si>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</si>
  <si>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</si>
  <si>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</si>
  <si>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</si>
  <si>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</si>
  <si>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</si>
  <si>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</si>
  <si>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</si>
  <si>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</si>
  <si>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</si>
  <si>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</si>
  <si>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</si>
  <si>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</si>
  <si>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</si>
  <si>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</si>
  <si>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</si>
  <si>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</si>
  <si>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</si>
  <si>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</si>
  <si>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</si>
  <si>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</si>
  <si>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</si>
  <si>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</si>
  <si>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</si>
  <si>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</si>
  <si>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</si>
  <si>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</si>
  <si>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</si>
  <si>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</si>
  <si>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</si>
  <si>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</si>
  <si>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</si>
  <si>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</si>
  <si>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</si>
  <si>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</si>
  <si>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</si>
  <si>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</si>
  <si>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</si>
  <si>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</si>
  <si>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</si>
  <si>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</si>
  <si>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</si>
  <si>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</si>
  <si>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</si>
  <si>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</si>
  <si>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</si>
  <si>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</si>
  <si>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</si>
  <si>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</si>
  <si>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</si>
  <si>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</si>
  <si>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</si>
  <si>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</si>
  <si>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</si>
  <si>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</si>
  <si>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</si>
  <si>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</si>
  <si>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</si>
  <si>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</si>
  <si>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</si>
  <si>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</si>
  <si>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</si>
  <si>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</si>
  <si>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</si>
  <si>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</si>
  <si>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</si>
  <si>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</si>
  <si>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</si>
  <si>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</si>
  <si>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</si>
  <si>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</si>
  <si>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</si>
  <si>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</si>
  <si>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</si>
  <si>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</si>
  <si>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</si>
  <si>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</si>
  <si>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</si>
  <si>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</si>
  <si>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</si>
  <si>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</si>
  <si>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</si>
  <si>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</si>
  <si>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</si>
  <si>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</si>
  <si>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</si>
  <si>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</si>
  <si>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</si>
  <si>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</si>
  <si>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</si>
  <si>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</si>
  <si>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</si>
  <si>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</si>
  <si>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</si>
  <si>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</si>
  <si>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</si>
  <si>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</si>
  <si>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</si>
  <si>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</si>
  <si>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</si>
  <si>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</si>
  <si>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</si>
  <si>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</si>
  <si>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</si>
  <si>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</si>
  <si>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</si>
  <si>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</si>
  <si>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</si>
  <si>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</si>
  <si>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</si>
  <si>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</si>
  <si>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</si>
  <si>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</si>
  <si>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</si>
  <si>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</si>
  <si>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</si>
  <si>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</si>
  <si>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</si>
  <si>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</si>
  <si>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</si>
  <si>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</si>
  <si>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</si>
  <si>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</si>
  <si>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</si>
  <si>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</si>
  <si>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</si>
  <si>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</si>
  <si>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</si>
  <si>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</si>
  <si>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</si>
  <si>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</si>
  <si>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</si>
  <si>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</si>
  <si>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</si>
  <si>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</si>
  <si>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</si>
  <si>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</si>
  <si>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</si>
  <si>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</si>
  <si>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</si>
  <si>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</si>
  <si>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</si>
  <si>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</si>
  <si>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</si>
  <si>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</si>
  <si>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</si>
  <si>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</si>
  <si>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</si>
  <si>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</si>
  <si>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</si>
  <si>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</si>
  <si>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</si>
  <si>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</si>
  <si>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</si>
  <si>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</si>
  <si>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</si>
  <si>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</si>
  <si>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</si>
  <si>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</si>
  <si>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</si>
  <si>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</si>
  <si>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</si>
  <si>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</si>
  <si>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</si>
  <si>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</si>
  <si>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</si>
  <si>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</si>
  <si>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</si>
  <si>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</si>
  <si>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</si>
  <si>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</si>
  <si>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</si>
  <si>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</si>
  <si>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</si>
  <si>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</si>
  <si>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</si>
  <si>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</si>
  <si>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</si>
  <si>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</si>
  <si>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</si>
  <si>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</si>
  <si>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</si>
  <si>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</si>
  <si>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</si>
  <si>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</si>
  <si>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</si>
  <si>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</si>
  <si>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</si>
  <si>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</si>
  <si>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</si>
  <si>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</si>
  <si>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</si>
  <si>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</si>
  <si>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</si>
  <si>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</si>
  <si>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</si>
  <si>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</si>
  <si>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</si>
  <si>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</si>
  <si>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</si>
  <si>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</si>
  <si>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</si>
  <si>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</si>
  <si>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</si>
  <si>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</si>
  <si>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</si>
  <si>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</si>
  <si>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</si>
  <si>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</si>
  <si>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</si>
  <si>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</si>
  <si>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</si>
  <si>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</si>
  <si>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</si>
  <si>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</si>
  <si>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</si>
  <si>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</si>
  <si>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</si>
  <si>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</si>
  <si>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</si>
  <si>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</si>
  <si>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</si>
  <si>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</si>
  <si>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</si>
  <si>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</si>
  <si>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</si>
  <si>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</si>
  <si>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</si>
  <si>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</si>
  <si>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</si>
  <si>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</si>
  <si>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</si>
  <si>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</si>
  <si>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</si>
  <si>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</si>
  <si>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</si>
  <si>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</si>
  <si>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</si>
  <si>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</si>
  <si>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</si>
  <si>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</si>
  <si>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</si>
  <si>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</si>
  <si>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</si>
  <si>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</si>
  <si>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</si>
  <si>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</si>
  <si>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</si>
  <si>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</si>
  <si>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</si>
  <si>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</si>
  <si>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</si>
  <si>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</si>
  <si>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</si>
  <si>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</si>
  <si>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</si>
  <si>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</si>
  <si>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</si>
  <si>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</si>
  <si>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</si>
  <si>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</si>
  <si>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</si>
  <si>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</si>
  <si>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</si>
  <si>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</si>
  <si>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</si>
  <si>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</si>
  <si>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</si>
  <si>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</si>
  <si>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</si>
  <si>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</si>
  <si>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</si>
  <si>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</si>
  <si>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</si>
  <si>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</si>
  <si>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</si>
  <si>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</si>
  <si>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</si>
  <si>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</si>
  <si>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</si>
  <si>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</si>
  <si>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</si>
  <si>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</si>
  <si>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</si>
  <si>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</si>
  <si>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</si>
  <si>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</si>
  <si>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</si>
  <si>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</si>
  <si>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</si>
  <si>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</si>
  <si>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</si>
  <si>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</si>
  <si>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</si>
  <si>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</si>
  <si>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</si>
  <si>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</si>
  <si>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</si>
  <si>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</si>
  <si>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</si>
  <si>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</si>
  <si>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</si>
  <si>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</si>
  <si>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</si>
  <si>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</si>
  <si>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</si>
  <si>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</si>
  <si>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</si>
  <si>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</si>
  <si>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</si>
  <si>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</si>
  <si>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</si>
  <si>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</si>
  <si>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</si>
  <si>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</si>
  <si>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</si>
  <si>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</si>
  <si>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</si>
  <si>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</si>
  <si>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</si>
  <si>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</si>
  <si>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</si>
  <si>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</si>
  <si>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</si>
  <si>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</si>
  <si>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</si>
  <si>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</si>
  <si>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</si>
  <si>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</si>
  <si>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</si>
  <si>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</si>
  <si>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</si>
  <si>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</si>
  <si>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</si>
  <si>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</si>
  <si>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</si>
  <si>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</si>
  <si>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</si>
  <si>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</si>
  <si>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</si>
  <si>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</si>
  <si>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</si>
  <si>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</si>
  <si>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</si>
  <si>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</si>
  <si>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</si>
  <si>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</si>
  <si>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</si>
  <si>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</si>
  <si>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</si>
  <si>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</si>
  <si>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</si>
  <si>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</si>
  <si>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</si>
  <si>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</si>
  <si>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</si>
  <si>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</si>
  <si>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</si>
  <si>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</si>
  <si>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</si>
  <si>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</si>
  <si>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</si>
  <si>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</si>
  <si>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</si>
  <si>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</si>
  <si>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</si>
  <si>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</si>
  <si>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</si>
  <si>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</si>
  <si>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</si>
  <si>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</si>
  <si>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</si>
  <si>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</si>
  <si>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</si>
  <si>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</si>
  <si>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</si>
  <si>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</si>
  <si>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</si>
  <si>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</si>
  <si>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</si>
  <si>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</si>
  <si>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</si>
  <si>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</si>
  <si>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</si>
  <si>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</si>
  <si>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</si>
  <si>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</si>
  <si>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</si>
  <si>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</si>
  <si>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</si>
  <si>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</si>
  <si>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</si>
  <si>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</si>
  <si>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</si>
  <si>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</si>
  <si>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</si>
  <si>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</si>
  <si>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</si>
  <si>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</si>
  <si>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</si>
  <si>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</si>
  <si>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</si>
  <si>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</si>
  <si>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</si>
  <si>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</si>
  <si>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</si>
  <si>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</si>
  <si>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</si>
  <si>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</si>
  <si>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</si>
  <si>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</si>
  <si>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</si>
  <si>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</si>
  <si>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</si>
  <si>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</si>
  <si>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</si>
  <si>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</si>
  <si>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</si>
  <si>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</si>
  <si>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</si>
  <si>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</si>
  <si>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</si>
  <si>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</si>
  <si>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</si>
  <si>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</si>
  <si>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</si>
  <si>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</si>
  <si>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</si>
  <si>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</si>
  <si>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</si>
  <si>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</si>
  <si>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</si>
  <si>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</si>
  <si>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</si>
  <si>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</si>
  <si>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</si>
  <si>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</si>
  <si>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</si>
  <si>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</si>
  <si>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</si>
  <si>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</si>
  <si>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</si>
  <si>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</si>
  <si>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</si>
  <si>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</si>
  <si>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</si>
  <si>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</si>
  <si>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</si>
  <si>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</si>
  <si>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</si>
  <si>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</si>
  <si>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</si>
  <si>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</si>
  <si>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</si>
  <si>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</si>
  <si>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</si>
  <si>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</si>
  <si>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</si>
  <si>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</si>
  <si>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</si>
  <si>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</si>
  <si>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</si>
  <si>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</si>
  <si>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</si>
  <si>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</si>
  <si>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</si>
  <si>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</si>
  <si>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</si>
  <si>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</si>
  <si>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</si>
  <si>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</si>
  <si>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</si>
  <si>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</si>
  <si>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</si>
  <si>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</si>
  <si>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</si>
  <si>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</si>
  <si>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</si>
  <si>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</si>
  <si>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</si>
  <si>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</si>
  <si>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</si>
  <si>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</si>
  <si>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</si>
  <si>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</si>
  <si>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</si>
  <si>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</si>
  <si>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</si>
  <si>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</si>
  <si>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</si>
  <si>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</si>
  <si>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</si>
  <si>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</si>
  <si>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</si>
  <si>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</si>
  <si>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</si>
  <si>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</si>
  <si>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</si>
  <si>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</si>
  <si>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</si>
  <si>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</si>
  <si>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</si>
  <si>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</si>
  <si>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</si>
  <si>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</si>
  <si>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</si>
  <si>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</si>
  <si>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</si>
  <si>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</si>
  <si>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</si>
  <si>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</si>
  <si>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</si>
  <si>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</si>
  <si>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</si>
  <si>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</si>
  <si>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</si>
  <si>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</si>
  <si>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</si>
  <si>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</si>
  <si>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</si>
  <si>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</si>
  <si>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</si>
  <si>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</si>
  <si>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</si>
  <si>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</si>
  <si>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</si>
  <si>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</si>
  <si>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</si>
  <si>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</si>
  <si>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</si>
  <si>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</si>
  <si>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</si>
  <si>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</si>
  <si>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</si>
  <si>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</si>
  <si>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</si>
  <si>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</si>
  <si>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</si>
  <si>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</si>
  <si>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</si>
  <si>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</si>
  <si>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</si>
  <si>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</si>
  <si>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</si>
  <si>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</si>
  <si>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</si>
  <si>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</si>
  <si>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</si>
  <si>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</si>
  <si>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</si>
  <si>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</si>
  <si>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</si>
  <si>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</si>
  <si>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</si>
  <si>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</si>
  <si>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</si>
  <si>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</si>
  <si>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</si>
  <si>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</si>
  <si>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</si>
  <si>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</si>
  <si>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</si>
  <si>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</si>
  <si>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</si>
  <si>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</si>
  <si>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</si>
  <si>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</si>
  <si>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</si>
  <si>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</si>
  <si>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</si>
  <si>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</si>
  <si>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</si>
  <si>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</si>
  <si>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</si>
  <si>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</si>
  <si>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</si>
  <si>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</si>
  <si>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</si>
  <si>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</si>
  <si>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</si>
  <si>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</si>
  <si>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</si>
  <si>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</si>
  <si>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</si>
  <si>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</si>
  <si>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</si>
  <si>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</si>
  <si>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</si>
  <si>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</si>
  <si>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</si>
  <si>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</si>
  <si>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</si>
  <si>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</si>
  <si>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</si>
  <si>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</si>
  <si>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</si>
  <si>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</si>
  <si>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</si>
  <si>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</si>
  <si>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</si>
  <si>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</si>
  <si>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</si>
  <si>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</si>
  <si>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</si>
  <si>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</si>
  <si>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</si>
  <si>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</si>
  <si>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</si>
  <si>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</si>
  <si>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</si>
  <si>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</si>
  <si>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</si>
  <si>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</si>
  <si>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</si>
  <si>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</si>
  <si>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</si>
  <si>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</si>
  <si>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</si>
  <si>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</si>
  <si>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</si>
  <si>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</si>
  <si>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</si>
  <si>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</si>
  <si>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</si>
  <si>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</si>
  <si>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</si>
  <si>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</si>
  <si>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</si>
  <si>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</si>
  <si>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</si>
  <si>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</si>
  <si>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</si>
  <si>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</si>
  <si>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</si>
  <si>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</si>
  <si>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</si>
  <si>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</si>
  <si>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</si>
  <si>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</si>
  <si>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</si>
  <si>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</si>
  <si>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</si>
  <si>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</si>
  <si>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</si>
  <si>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</si>
  <si>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</si>
  <si>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</si>
  <si>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</si>
  <si>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</si>
  <si>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</si>
  <si>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</si>
  <si>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</si>
  <si>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</si>
  <si>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</si>
  <si>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</si>
  <si>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</si>
  <si>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</si>
  <si>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</si>
  <si>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</si>
  <si>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</si>
  <si>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</si>
  <si>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</si>
  <si>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</si>
  <si>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</si>
  <si>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</si>
  <si>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</si>
  <si>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</si>
  <si>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</si>
  <si>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</si>
  <si>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</si>
  <si>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</si>
  <si>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</si>
  <si>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</si>
  <si>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</si>
  <si>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</si>
  <si>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</si>
  <si>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</si>
  <si>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</si>
  <si>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</si>
  <si>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</si>
  <si>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</si>
  <si>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</si>
  <si>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</si>
  <si>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</si>
  <si>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</si>
  <si>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</si>
  <si>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</si>
  <si>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</si>
  <si>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</si>
  <si>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</si>
  <si>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</si>
  <si>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</si>
  <si>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</si>
  <si>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</si>
  <si>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</si>
  <si>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</si>
  <si>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</si>
  <si>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</si>
  <si>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</si>
  <si>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</si>
  <si>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</si>
  <si>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</si>
  <si>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</si>
  <si>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</si>
  <si>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</si>
  <si>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</si>
  <si>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</si>
  <si>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</si>
  <si>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</si>
  <si>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</si>
  <si>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</si>
  <si>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</si>
  <si>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</si>
  <si>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</si>
  <si>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</si>
  <si>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</si>
  <si>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</si>
  <si>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</si>
  <si>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</si>
  <si>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</si>
  <si>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</si>
  <si>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</si>
  <si>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</si>
  <si>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</si>
  <si>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</si>
  <si>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</si>
  <si>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</si>
  <si>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</si>
  <si>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</si>
  <si>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</si>
  <si>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</si>
  <si>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</si>
  <si>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</si>
  <si>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</si>
  <si>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</si>
  <si>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</si>
  <si>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</si>
  <si>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</si>
  <si>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</si>
  <si>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</si>
  <si>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</si>
  <si>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</si>
  <si>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</si>
  <si>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</si>
  <si>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</si>
  <si>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</si>
  <si>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</si>
  <si>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</si>
  <si>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</si>
  <si>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</si>
  <si>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</si>
  <si>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</si>
  <si>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</si>
  <si>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</si>
  <si>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</si>
  <si>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</si>
  <si>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</si>
  <si>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</si>
  <si>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</si>
  <si>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</si>
  <si>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</si>
  <si>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</si>
  <si>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</si>
  <si>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</si>
  <si>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</si>
  <si>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</si>
  <si>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</si>
  <si>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</si>
  <si>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</si>
  <si>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</si>
  <si>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</si>
  <si>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</si>
  <si>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</si>
  <si>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</si>
  <si>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</si>
  <si>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</si>
  <si>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</si>
  <si>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</si>
  <si>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</si>
  <si>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</si>
  <si>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</si>
  <si>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</si>
  <si>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</si>
  <si>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</si>
  <si>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</si>
  <si>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</si>
  <si>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</si>
  <si>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</si>
  <si>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</si>
  <si>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</si>
  <si>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</si>
  <si>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</si>
  <si>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</si>
  <si>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</si>
  <si>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</si>
  <si>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</si>
  <si>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</si>
  <si>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</si>
  <si>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</si>
  <si>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</si>
  <si>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</si>
  <si>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</si>
  <si>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</si>
  <si>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</si>
  <si>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</si>
  <si>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</si>
  <si>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</si>
  <si>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</si>
  <si>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</si>
  <si>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</si>
  <si>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</si>
  <si>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</si>
  <si>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</si>
  <si>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</si>
  <si>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</si>
  <si>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</si>
  <si>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</si>
  <si>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</si>
  <si>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</si>
  <si>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</si>
  <si>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</si>
  <si>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</si>
  <si>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</si>
  <si>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</si>
  <si>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</si>
  <si>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</si>
  <si>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</si>
  <si>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</si>
  <si>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</si>
  <si>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</si>
  <si>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</si>
  <si>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</si>
  <si>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</si>
  <si>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</si>
  <si>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</si>
  <si>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</si>
  <si>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</si>
  <si>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</si>
  <si>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</si>
  <si>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</si>
  <si>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</si>
  <si>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</si>
  <si>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</si>
  <si>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</si>
  <si>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</si>
  <si>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</si>
  <si>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</si>
  <si>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</si>
  <si>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</si>
  <si>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</si>
  <si>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</si>
  <si>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</si>
  <si>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</si>
  <si>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</si>
  <si>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</si>
  <si>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</si>
  <si>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</si>
  <si>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</si>
  <si>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</si>
  <si>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</si>
  <si>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</si>
  <si>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</si>
  <si>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</si>
  <si>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</si>
  <si>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</si>
  <si>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</si>
  <si>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</si>
  <si>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</si>
  <si>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</si>
  <si>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</si>
  <si>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</si>
  <si>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</si>
  <si>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</si>
  <si>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</si>
  <si>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</si>
  <si>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</si>
  <si>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</si>
  <si>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</si>
  <si>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</si>
  <si>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</si>
  <si>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</si>
  <si>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</si>
  <si>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</si>
  <si>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</si>
  <si>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</si>
  <si>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</si>
  <si>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</si>
  <si>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</si>
  <si>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</si>
  <si>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</si>
  <si>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</si>
  <si>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</si>
  <si>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</si>
  <si>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</si>
  <si>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</si>
  <si>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</si>
  <si>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</si>
  <si>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</si>
  <si>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</si>
  <si>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</si>
  <si>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</si>
  <si>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</si>
  <si>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</si>
  <si>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</si>
  <si>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</si>
  <si>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</si>
  <si>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</si>
  <si>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</si>
  <si>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</si>
  <si>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</si>
  <si>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</si>
  <si>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</si>
  <si>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</si>
  <si>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</si>
  <si>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</si>
  <si>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</si>
  <si>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</si>
  <si>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</si>
  <si>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</si>
  <si>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</si>
  <si>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</si>
  <si>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</si>
  <si>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</si>
  <si>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</si>
  <si>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</si>
  <si>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</si>
  <si>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</si>
  <si>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</si>
  <si>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</si>
  <si>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</si>
  <si>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</si>
  <si>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</si>
  <si>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</si>
  <si>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</si>
  <si>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</si>
  <si>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</si>
  <si>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</si>
  <si>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</si>
  <si>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</si>
  <si>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</si>
  <si>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</si>
  <si>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</si>
  <si>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</si>
  <si>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</si>
  <si>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</si>
  <si>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</si>
  <si>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</si>
  <si>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</si>
  <si>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</si>
  <si>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</si>
  <si>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</si>
  <si>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</si>
  <si>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</si>
  <si>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</si>
  <si>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</si>
  <si>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</si>
  <si>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</si>
  <si>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</si>
  <si>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</si>
  <si>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</si>
  <si>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</si>
  <si>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</si>
  <si>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</si>
  <si>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</si>
  <si>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</si>
  <si>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</si>
  <si>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</si>
  <si>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</si>
  <si>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</si>
  <si>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</si>
  <si>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</si>
  <si>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</si>
  <si>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</si>
  <si>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</si>
  <si>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</si>
  <si>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</si>
  <si>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</si>
  <si>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</si>
  <si>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</si>
  <si>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</si>
  <si>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</si>
  <si>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</si>
  <si>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</si>
  <si>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</si>
  <si>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</si>
  <si>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</si>
  <si>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</si>
  <si>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</si>
  <si>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</si>
  <si>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</si>
  <si>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</si>
  <si>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</si>
  <si>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</si>
  <si>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</si>
  <si>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</si>
  <si>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</si>
  <si>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</si>
  <si>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</si>
  <si>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Z1_OL_T3_C1s1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</si>
</sst>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6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3.5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5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561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2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1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>
        <v>1</v>
      </c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1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"/>
        <v>1.7</v>
      </c>
      <c r="V168" s="169">
        <f t="shared" si="9"/>
        <v>1.7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1.7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W22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3</v>
      </c>
      <c r="J2" s="179">
        <f t="shared" si="0"/>
        <v>3</v>
      </c>
      <c r="K2" s="179">
        <f t="shared" si="0"/>
        <v>3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1</v>
      </c>
      <c r="D4" s="179">
        <f t="shared" si="8"/>
        <v>1</v>
      </c>
      <c r="E4" s="179">
        <f t="shared" si="8"/>
        <v>0</v>
      </c>
      <c r="F4" s="179">
        <f t="shared" si="8"/>
        <v>0</v>
      </c>
      <c r="G4" s="179">
        <f t="shared" si="8"/>
        <v>1</v>
      </c>
      <c r="H4" s="179">
        <f t="shared" si="8"/>
        <v>1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1</v>
      </c>
      <c r="D5" s="179">
        <f t="shared" si="11"/>
        <v>1</v>
      </c>
      <c r="E5" s="179">
        <f t="shared" si="11"/>
        <v>1</v>
      </c>
      <c r="F5" s="179">
        <f t="shared" si="11"/>
        <v>1</v>
      </c>
      <c r="G5" s="179">
        <f t="shared" si="11"/>
        <v>1</v>
      </c>
      <c r="H5" s="179">
        <f t="shared" si="11"/>
        <v>1</v>
      </c>
      <c r="I5" s="179">
        <f t="shared" si="11"/>
        <v>1</v>
      </c>
      <c r="J5" s="179">
        <f t="shared" si="11"/>
        <v>1</v>
      </c>
      <c r="K5" s="179">
        <f t="shared" si="11"/>
        <v>1</v>
      </c>
      <c r="L5" s="179">
        <f t="shared" si="11"/>
        <v>2</v>
      </c>
      <c r="M5" s="179">
        <f t="shared" si="11"/>
        <v>2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2</v>
      </c>
      <c r="U5" s="179">
        <f t="shared" si="11"/>
        <v>2</v>
      </c>
      <c r="V5" s="179">
        <f t="shared" si="11"/>
        <v>2</v>
      </c>
      <c r="W5" s="179">
        <f t="shared" si="11"/>
        <v>2</v>
      </c>
      <c r="X5" s="179">
        <f t="shared" si="11"/>
        <v>2</v>
      </c>
      <c r="Y5" s="179">
        <f t="shared" si="11"/>
        <v>2</v>
      </c>
      <c r="Z5" s="179">
        <f t="shared" si="11"/>
        <v>1</v>
      </c>
      <c r="AI5" s="40" t="s">
        <v>742</v>
      </c>
      <c r="AJ5" s="30">
        <f>MAX(C203:Z203)</f>
        <v>10</v>
      </c>
      <c r="AO5" s="14" t="s">
        <v>741</v>
      </c>
      <c r="AP5" s="30">
        <f>BI31</f>
        <v>2318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9.4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6</v>
      </c>
      <c r="J8" s="179">
        <f>(J3+J4)*[1]Protect!$B$12</f>
        <v>6</v>
      </c>
      <c r="K8" s="179">
        <f>(K3+K4)*[1]Protect!$B$12</f>
        <v>6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3</v>
      </c>
      <c r="D9" s="179">
        <f>D5*[1]Protect!$B$13</f>
        <v>3</v>
      </c>
      <c r="E9" s="179">
        <f>E5*[1]Protect!$B$13</f>
        <v>3</v>
      </c>
      <c r="F9" s="179">
        <f>F5*[1]Protect!$B$13</f>
        <v>3</v>
      </c>
      <c r="G9" s="179">
        <f>G5*[1]Protect!$B$13</f>
        <v>3</v>
      </c>
      <c r="H9" s="179">
        <f>H5*[1]Protect!$B$13</f>
        <v>3</v>
      </c>
      <c r="I9" s="179">
        <f>I5*[1]Protect!$B$13</f>
        <v>3</v>
      </c>
      <c r="J9" s="179">
        <f>J5*[1]Protect!$B$13</f>
        <v>3</v>
      </c>
      <c r="K9" s="179">
        <f>K5*[1]Protect!$B$13</f>
        <v>3</v>
      </c>
      <c r="L9" s="179">
        <f>L5*[1]Protect!$B$13</f>
        <v>6</v>
      </c>
      <c r="M9" s="179">
        <f>M5*[1]Protect!$B$13</f>
        <v>6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6</v>
      </c>
      <c r="U9" s="179">
        <f>U5*[1]Protect!$B$13</f>
        <v>6</v>
      </c>
      <c r="V9" s="179">
        <f>V5*[1]Protect!$B$13</f>
        <v>6</v>
      </c>
      <c r="W9" s="179">
        <f>W5*[1]Protect!$B$13</f>
        <v>6</v>
      </c>
      <c r="X9" s="179">
        <f>X5*[1]Protect!$B$13</f>
        <v>6</v>
      </c>
      <c r="Y9" s="179">
        <f>Y5*[1]Protect!$B$13</f>
        <v>6</v>
      </c>
      <c r="Z9" s="179">
        <f>Z5*[1]Protect!$B$13</f>
        <v>3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5</v>
      </c>
      <c r="D11" s="179">
        <f t="shared" si="14"/>
        <v>5</v>
      </c>
      <c r="E11" s="179">
        <f t="shared" si="14"/>
        <v>5</v>
      </c>
      <c r="F11" s="179">
        <f t="shared" si="14"/>
        <v>7</v>
      </c>
      <c r="G11" s="179">
        <f t="shared" si="14"/>
        <v>7</v>
      </c>
      <c r="H11" s="179">
        <f t="shared" si="14"/>
        <v>7</v>
      </c>
      <c r="I11" s="179">
        <f t="shared" si="14"/>
        <v>9</v>
      </c>
      <c r="J11" s="179">
        <f t="shared" si="14"/>
        <v>9</v>
      </c>
      <c r="K11" s="179">
        <f t="shared" si="14"/>
        <v>9</v>
      </c>
      <c r="L11" s="179">
        <f t="shared" si="14"/>
        <v>10</v>
      </c>
      <c r="M11" s="179">
        <f t="shared" si="14"/>
        <v>10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10</v>
      </c>
      <c r="U11" s="179">
        <f t="shared" si="14"/>
        <v>10</v>
      </c>
      <c r="V11" s="179">
        <f t="shared" si="14"/>
        <v>6</v>
      </c>
      <c r="W11" s="179">
        <f t="shared" si="14"/>
        <v>6</v>
      </c>
      <c r="X11" s="179">
        <f t="shared" si="14"/>
        <v>6</v>
      </c>
      <c r="Y11" s="179">
        <f t="shared" si="14"/>
        <v>6</v>
      </c>
      <c r="Z11" s="179">
        <f t="shared" si="14"/>
        <v>5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5</v>
      </c>
      <c r="D13" s="179">
        <f t="shared" si="15"/>
        <v>5</v>
      </c>
      <c r="E13" s="179">
        <f t="shared" si="15"/>
        <v>5</v>
      </c>
      <c r="F13" s="179">
        <f t="shared" si="15"/>
        <v>7</v>
      </c>
      <c r="G13" s="179">
        <f t="shared" si="15"/>
        <v>7</v>
      </c>
      <c r="H13" s="179">
        <f t="shared" si="15"/>
        <v>7</v>
      </c>
      <c r="I13" s="179">
        <f t="shared" si="15"/>
        <v>9</v>
      </c>
      <c r="J13" s="179">
        <f t="shared" si="15"/>
        <v>9</v>
      </c>
      <c r="K13" s="179">
        <f t="shared" si="15"/>
        <v>9</v>
      </c>
      <c r="L13" s="179">
        <f t="shared" si="15"/>
        <v>10</v>
      </c>
      <c r="M13" s="179">
        <f t="shared" si="15"/>
        <v>10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10</v>
      </c>
      <c r="U13" s="179">
        <f t="shared" si="15"/>
        <v>10</v>
      </c>
      <c r="V13" s="179">
        <f t="shared" si="15"/>
        <v>6</v>
      </c>
      <c r="W13" s="179">
        <f t="shared" si="15"/>
        <v>6</v>
      </c>
      <c r="X13" s="179">
        <f t="shared" si="15"/>
        <v>6</v>
      </c>
      <c r="Y13" s="179">
        <f t="shared" si="15"/>
        <v>6</v>
      </c>
      <c r="Z13" s="179">
        <f t="shared" si="15"/>
        <v>5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2</v>
      </c>
      <c r="D16" s="169">
        <f t="shared" si="17"/>
        <v>2</v>
      </c>
      <c r="E16" s="169">
        <f t="shared" si="17"/>
        <v>2</v>
      </c>
      <c r="F16" s="169">
        <f t="shared" si="17"/>
        <v>1</v>
      </c>
      <c r="G16" s="169">
        <f t="shared" si="17"/>
        <v>1</v>
      </c>
      <c r="H16" s="169">
        <f t="shared" si="17"/>
        <v>1</v>
      </c>
      <c r="I16" s="169">
        <f t="shared" si="17"/>
        <v>0</v>
      </c>
      <c r="J16" s="169">
        <f t="shared" si="17"/>
        <v>0</v>
      </c>
      <c r="K16" s="169">
        <f t="shared" si="17"/>
        <v>0</v>
      </c>
      <c r="L16" s="169">
        <f t="shared" si="17"/>
        <v>0</v>
      </c>
      <c r="M16" s="169">
        <f t="shared" si="17"/>
        <v>0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0</v>
      </c>
      <c r="U16" s="169">
        <f t="shared" si="17"/>
        <v>0</v>
      </c>
      <c r="V16" s="169">
        <f t="shared" si="17"/>
        <v>1</v>
      </c>
      <c r="W16" s="169">
        <f t="shared" si="17"/>
        <v>1</v>
      </c>
      <c r="X16" s="169">
        <f t="shared" si="17"/>
        <v>1</v>
      </c>
      <c r="Y16" s="169">
        <f t="shared" si="17"/>
        <v>2</v>
      </c>
      <c r="Z16" s="169">
        <f t="shared" si="17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2</v>
      </c>
      <c r="D17" s="169">
        <f t="shared" si="18"/>
        <v>2</v>
      </c>
      <c r="E17" s="169">
        <f t="shared" si="18"/>
        <v>2</v>
      </c>
      <c r="F17" s="169">
        <f t="shared" si="18"/>
        <v>3</v>
      </c>
      <c r="G17" s="169">
        <f t="shared" si="18"/>
        <v>3</v>
      </c>
      <c r="H17" s="169">
        <f t="shared" si="18"/>
        <v>3</v>
      </c>
      <c r="I17" s="169">
        <f t="shared" si="18"/>
        <v>4</v>
      </c>
      <c r="J17" s="169">
        <f t="shared" si="18"/>
        <v>4</v>
      </c>
      <c r="K17" s="169">
        <f t="shared" si="18"/>
        <v>4</v>
      </c>
      <c r="L17" s="169">
        <f t="shared" si="18"/>
        <v>4</v>
      </c>
      <c r="M17" s="169">
        <f t="shared" si="18"/>
        <v>4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4</v>
      </c>
      <c r="U17" s="169">
        <f t="shared" si="18"/>
        <v>4</v>
      </c>
      <c r="V17" s="169">
        <f t="shared" si="18"/>
        <v>2</v>
      </c>
      <c r="W17" s="169">
        <f t="shared" si="18"/>
        <v>2</v>
      </c>
      <c r="X17" s="169">
        <f t="shared" si="18"/>
        <v>2</v>
      </c>
      <c r="Y17" s="169">
        <f t="shared" si="18"/>
        <v>2</v>
      </c>
      <c r="Z17" s="169">
        <f t="shared" si="18"/>
        <v>2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5848</v>
      </c>
      <c r="AE20" s="64">
        <v>0</v>
      </c>
      <c r="AF20" s="64">
        <f>SUM(AD20:AE20)</f>
        <v>5848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5848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5848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22.200000000000003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2</v>
      </c>
      <c r="BE51" s="173">
        <f>IF(CdTrp1!K79=1,1,IF(CdTrp1!K79=2,2,IF(CdTrp1!K79=3,2,0)))</f>
        <v>2</v>
      </c>
      <c r="BF51" s="173">
        <f>IF(CdTrp1!L79=1,1,IF(CdTrp1!L79=2,2,IF(CdTrp1!L79=3,2,0)))</f>
        <v>2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2</v>
      </c>
      <c r="BN51" s="173">
        <f>IF(CdTrp1!T79=1,1,IF(CdTrp1!T79=2,2,IF(CdTrp1!T79=3,2,0)))</f>
        <v>2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0.5</v>
      </c>
      <c r="J70" s="169">
        <f>IF($AA70=0,99,IF(J83&gt;3,CdTrp1!I78,CdTrp1!I54))</f>
        <v>0.5</v>
      </c>
      <c r="K70" s="169">
        <f>IF($AA70=0,99,IF(K83&gt;3,CdTrp1!J78,CdTrp1!J54))</f>
        <v>0.5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0.5</v>
      </c>
      <c r="D71" s="169">
        <f>IF($AA71=0,99,IF(D84&gt;3,CdTrp1!C79,CdTrp1!C55))</f>
        <v>0.5</v>
      </c>
      <c r="E71" s="169">
        <f>IF($AA71=0,99,IF(E84&gt;3,CdTrp1!D79,CdTrp1!D55))</f>
        <v>0.5</v>
      </c>
      <c r="F71" s="169">
        <f>IF($AA71=0,99,IF(F84&gt;3,CdTrp1!E79,CdTrp1!E55))</f>
        <v>0.5</v>
      </c>
      <c r="G71" s="169">
        <f>IF($AA71=0,99,IF(G84&gt;3,CdTrp1!F79,CdTrp1!F55))</f>
        <v>0.5</v>
      </c>
      <c r="H71" s="169">
        <f>IF($AA71=0,99,IF(H84&gt;3,CdTrp1!G79,CdTrp1!G55))</f>
        <v>0.5</v>
      </c>
      <c r="I71" s="169">
        <f>IF($AA71=0,99,IF(I84&gt;3,CdTrp1!H79,CdTrp1!H55))</f>
        <v>0.5</v>
      </c>
      <c r="J71" s="169">
        <f>IF($AA71=0,99,IF(J84&gt;3,CdTrp1!I79,CdTrp1!I55))</f>
        <v>0.5</v>
      </c>
      <c r="K71" s="169">
        <f>IF($AA71=0,99,IF(K84&gt;3,CdTrp1!J79,CdTrp1!J55))</f>
        <v>0.5</v>
      </c>
      <c r="L71" s="169">
        <f>IF($AA71=0,99,IF(L84&gt;3,CdTrp1!K79,CdTrp1!K55))</f>
        <v>0.5</v>
      </c>
      <c r="M71" s="169">
        <f>IF($AA71=0,99,IF(M84&gt;3,CdTrp1!L79,CdTrp1!L55))</f>
        <v>0.5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0.5</v>
      </c>
      <c r="U71" s="169">
        <f>IF($AA71=0,99,IF(U84&gt;3,CdTrp1!T79,CdTrp1!T55))</f>
        <v>0.5</v>
      </c>
      <c r="V71" s="169">
        <f>IF($AA71=0,99,IF(V84&gt;3,CdTrp1!U79,CdTrp1!U55))</f>
        <v>0.5</v>
      </c>
      <c r="W71" s="169">
        <f>IF($AA71=0,99,IF(W84&gt;3,CdTrp1!V79,CdTrp1!V55))</f>
        <v>0.5</v>
      </c>
      <c r="X71" s="169">
        <f>IF($AA71=0,99,IF(X84&gt;3,CdTrp1!W79,CdTrp1!W55))</f>
        <v>0.5</v>
      </c>
      <c r="Y71" s="169">
        <f>IF($AA71=0,99,IF(Y84&gt;3,CdTrp1!X79,CdTrp1!X55))</f>
        <v>0.5</v>
      </c>
      <c r="Z71" s="169">
        <f>IF($AA71=0,99,IF(Z84&gt;3,CdTrp1!Y79,CdTrp1!Y55))</f>
        <v>0.5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0.5</v>
      </c>
      <c r="O72" s="169">
        <f>IF($AA72=0,99,IF(O85&gt;3,CdTrp1!N80,CdTrp1!N56))</f>
        <v>0.5</v>
      </c>
      <c r="P72" s="169">
        <f>IF($AA72=0,99,IF(P85&gt;3,CdTrp1!O80,CdTrp1!O56))</f>
        <v>0.5</v>
      </c>
      <c r="Q72" s="169">
        <f>IF($AA72=0,99,IF(Q85&gt;3,CdTrp1!P80,CdTrp1!P56))</f>
        <v>0.5</v>
      </c>
      <c r="R72" s="169">
        <f>IF($AA72=0,99,IF(R85&gt;3,CdTrp1!Q80,CdTrp1!Q56))</f>
        <v>0.5</v>
      </c>
      <c r="S72" s="169">
        <f>IF($AA72=0,99,IF(S85&gt;3,CdTrp1!R80,CdTrp1!R56))</f>
        <v>0.5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2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1</v>
      </c>
      <c r="J83" s="169">
        <f>CdTrp1!I78</f>
        <v>1</v>
      </c>
      <c r="K83" s="169">
        <f>CdTrp1!J78</f>
        <v>1</v>
      </c>
      <c r="L83" s="169">
        <f>CdTrp1!K78</f>
        <v>1</v>
      </c>
      <c r="M83" s="169">
        <f>CdTrp1!L78</f>
        <v>1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3</v>
      </c>
      <c r="D84" s="169">
        <f>CdTrp1!C79</f>
        <v>3</v>
      </c>
      <c r="E84" s="169">
        <f>CdTrp1!D79</f>
        <v>3</v>
      </c>
      <c r="F84" s="169">
        <f>CdTrp1!E79</f>
        <v>3</v>
      </c>
      <c r="G84" s="169">
        <f>CdTrp1!F79</f>
        <v>3</v>
      </c>
      <c r="H84" s="169">
        <f>CdTrp1!G79</f>
        <v>3</v>
      </c>
      <c r="I84" s="169">
        <f>CdTrp1!H79</f>
        <v>3</v>
      </c>
      <c r="J84" s="169">
        <f>CdTrp1!I79</f>
        <v>3</v>
      </c>
      <c r="K84" s="169">
        <f>CdTrp1!J79</f>
        <v>3</v>
      </c>
      <c r="L84" s="169">
        <f>CdTrp1!K79</f>
        <v>3</v>
      </c>
      <c r="M84" s="169">
        <f>CdTrp1!L79</f>
        <v>3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3</v>
      </c>
      <c r="U84" s="169">
        <f>CdTrp1!T79</f>
        <v>3</v>
      </c>
      <c r="V84" s="169">
        <f>CdTrp1!U79</f>
        <v>3</v>
      </c>
      <c r="W84" s="169">
        <f>CdTrp1!V79</f>
        <v>3</v>
      </c>
      <c r="X84" s="169">
        <f>CdTrp1!W79</f>
        <v>3</v>
      </c>
      <c r="Y84" s="169">
        <f>CdTrp1!X79</f>
        <v>3</v>
      </c>
      <c r="Z84" s="169">
        <f>CdTrp1!Y79</f>
        <v>3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1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1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5</v>
      </c>
      <c r="D201" s="169">
        <f>IF(Troupeau!$B$3="OL",D8+D9,0)</f>
        <v>5</v>
      </c>
      <c r="E201" s="169">
        <f>IF(Troupeau!$B$3="OL",E8+E9,0)</f>
        <v>5</v>
      </c>
      <c r="F201" s="169">
        <f>IF(Troupeau!$B$3="OL",F8+F9,0)</f>
        <v>7</v>
      </c>
      <c r="G201" s="169">
        <f>IF(Troupeau!$B$3="OL",G8+G9,0)</f>
        <v>7</v>
      </c>
      <c r="H201" s="169">
        <f>IF(Troupeau!$B$3="OL",H8+H9,0)</f>
        <v>7</v>
      </c>
      <c r="I201" s="169">
        <f>IF(Troupeau!$B$3="OL",I8+I9,0)</f>
        <v>9</v>
      </c>
      <c r="J201" s="169">
        <f>IF(Troupeau!$B$3="OL",J8+J9,0)</f>
        <v>9</v>
      </c>
      <c r="K201" s="169">
        <f>IF(Troupeau!$B$3="OL",K8+K9,0)</f>
        <v>9</v>
      </c>
      <c r="L201" s="169">
        <f>IF(Troupeau!$B$3="OL",L8+L9,0)</f>
        <v>10</v>
      </c>
      <c r="M201" s="169">
        <f>IF(Troupeau!$B$3="OL",M8+M9,0)</f>
        <v>10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10</v>
      </c>
      <c r="U201" s="169">
        <f>IF(Troupeau!$B$3="OL",U8+U9,0)</f>
        <v>10</v>
      </c>
      <c r="V201" s="169">
        <f>IF(Troupeau!$B$3="OL",V8+V9,0)</f>
        <v>6</v>
      </c>
      <c r="W201" s="169">
        <f>IF(Troupeau!$B$3="OL",W8+W9,0)</f>
        <v>6</v>
      </c>
      <c r="X201" s="169">
        <f>IF(Troupeau!$B$3="OL",X8+X9,0)</f>
        <v>6</v>
      </c>
      <c r="Y201" s="169">
        <f>IF(Troupeau!$B$3="OL",Y8+Y9,0)</f>
        <v>6</v>
      </c>
      <c r="Z201" s="169">
        <f>IF(Troupeau!$B$3="OL",Z8+Z9,0)</f>
        <v>5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5</v>
      </c>
      <c r="D203" s="169">
        <f t="shared" si="52"/>
        <v>5</v>
      </c>
      <c r="E203" s="169">
        <f t="shared" si="52"/>
        <v>5</v>
      </c>
      <c r="F203" s="169">
        <f t="shared" si="52"/>
        <v>7</v>
      </c>
      <c r="G203" s="169">
        <f t="shared" si="52"/>
        <v>7</v>
      </c>
      <c r="H203" s="169">
        <f t="shared" si="52"/>
        <v>7</v>
      </c>
      <c r="I203" s="169">
        <f t="shared" si="52"/>
        <v>9</v>
      </c>
      <c r="J203" s="169">
        <f t="shared" si="52"/>
        <v>9</v>
      </c>
      <c r="K203" s="169">
        <f t="shared" si="52"/>
        <v>9</v>
      </c>
      <c r="L203" s="169">
        <f t="shared" si="52"/>
        <v>10</v>
      </c>
      <c r="M203" s="169">
        <f t="shared" si="52"/>
        <v>10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10</v>
      </c>
      <c r="U203" s="169">
        <f t="shared" si="52"/>
        <v>10</v>
      </c>
      <c r="V203" s="169">
        <f t="shared" si="52"/>
        <v>6</v>
      </c>
      <c r="W203" s="169">
        <f t="shared" si="52"/>
        <v>6</v>
      </c>
      <c r="X203" s="169">
        <f t="shared" si="52"/>
        <v>6</v>
      </c>
      <c r="Y203" s="169">
        <f t="shared" si="52"/>
        <v>6</v>
      </c>
      <c r="Z203" s="169">
        <f t="shared" si="52"/>
        <v>5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5</v>
      </c>
      <c r="D212" s="169">
        <f t="shared" si="53"/>
        <v>5</v>
      </c>
      <c r="E212" s="169">
        <f t="shared" si="53"/>
        <v>5</v>
      </c>
      <c r="F212" s="169">
        <f t="shared" si="53"/>
        <v>7</v>
      </c>
      <c r="G212" s="169">
        <f t="shared" si="53"/>
        <v>7</v>
      </c>
      <c r="H212" s="169">
        <f t="shared" si="53"/>
        <v>7</v>
      </c>
      <c r="I212" s="169">
        <f t="shared" si="53"/>
        <v>9</v>
      </c>
      <c r="J212" s="169">
        <f t="shared" si="53"/>
        <v>9</v>
      </c>
      <c r="K212" s="169">
        <f t="shared" si="53"/>
        <v>9</v>
      </c>
      <c r="L212" s="169">
        <f t="shared" si="53"/>
        <v>10</v>
      </c>
      <c r="M212" s="169">
        <f t="shared" si="53"/>
        <v>10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10</v>
      </c>
      <c r="U212" s="169">
        <f t="shared" si="53"/>
        <v>10</v>
      </c>
      <c r="V212" s="169">
        <f t="shared" si="53"/>
        <v>6</v>
      </c>
      <c r="W212" s="169">
        <f t="shared" si="53"/>
        <v>6</v>
      </c>
      <c r="X212" s="169">
        <f t="shared" si="53"/>
        <v>6</v>
      </c>
      <c r="Y212" s="169">
        <f t="shared" si="53"/>
        <v>6</v>
      </c>
      <c r="Z212" s="169">
        <f t="shared" si="53"/>
        <v>5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5</v>
      </c>
      <c r="D214" s="169">
        <f t="shared" si="55"/>
        <v>5</v>
      </c>
      <c r="E214" s="169">
        <f t="shared" si="55"/>
        <v>5</v>
      </c>
      <c r="F214" s="169">
        <f t="shared" si="55"/>
        <v>7</v>
      </c>
      <c r="G214" s="169">
        <f t="shared" si="55"/>
        <v>7</v>
      </c>
      <c r="H214" s="169">
        <f t="shared" si="55"/>
        <v>7</v>
      </c>
      <c r="I214" s="169">
        <f t="shared" si="55"/>
        <v>9</v>
      </c>
      <c r="J214" s="169">
        <f t="shared" si="55"/>
        <v>9</v>
      </c>
      <c r="K214" s="169">
        <f t="shared" si="55"/>
        <v>9</v>
      </c>
      <c r="L214" s="169">
        <f t="shared" si="55"/>
        <v>10</v>
      </c>
      <c r="M214" s="169">
        <f t="shared" si="55"/>
        <v>10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10</v>
      </c>
      <c r="U214" s="169">
        <f t="shared" si="55"/>
        <v>10</v>
      </c>
      <c r="V214" s="169">
        <f t="shared" si="55"/>
        <v>6</v>
      </c>
      <c r="W214" s="169">
        <f t="shared" si="55"/>
        <v>6</v>
      </c>
      <c r="X214" s="169">
        <f t="shared" si="55"/>
        <v>6</v>
      </c>
      <c r="Y214" s="169">
        <f t="shared" si="55"/>
        <v>6</v>
      </c>
      <c r="Z214" s="169">
        <f t="shared" si="55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1071</v>
      </c>
      <c r="G5" s="169">
        <f t="shared" ref="G5:AD5" si="1">AV117</f>
        <v>42</v>
      </c>
      <c r="H5" s="169">
        <f t="shared" si="1"/>
        <v>42</v>
      </c>
      <c r="I5" s="169">
        <f t="shared" si="1"/>
        <v>35</v>
      </c>
      <c r="J5" s="169">
        <f t="shared" si="1"/>
        <v>49</v>
      </c>
      <c r="K5" s="169">
        <f t="shared" si="1"/>
        <v>56</v>
      </c>
      <c r="L5" s="169">
        <f t="shared" si="1"/>
        <v>56</v>
      </c>
      <c r="M5" s="169">
        <f t="shared" si="1"/>
        <v>70</v>
      </c>
      <c r="N5" s="169">
        <f t="shared" si="1"/>
        <v>70</v>
      </c>
      <c r="O5" s="169">
        <f t="shared" si="1"/>
        <v>70</v>
      </c>
      <c r="P5" s="169">
        <f t="shared" si="1"/>
        <v>70</v>
      </c>
      <c r="Q5" s="169">
        <f t="shared" si="1"/>
        <v>70</v>
      </c>
      <c r="R5" s="169">
        <f t="shared" si="1"/>
        <v>21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70</v>
      </c>
      <c r="Y5" s="169">
        <f t="shared" si="1"/>
        <v>70</v>
      </c>
      <c r="Z5" s="169">
        <f t="shared" si="1"/>
        <v>42</v>
      </c>
      <c r="AA5" s="169">
        <f t="shared" si="1"/>
        <v>42</v>
      </c>
      <c r="AB5" s="169">
        <f t="shared" si="1"/>
        <v>42</v>
      </c>
      <c r="AC5" s="169">
        <f t="shared" si="1"/>
        <v>42</v>
      </c>
      <c r="AD5" s="169">
        <f t="shared" si="1"/>
        <v>42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898.16431250000005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30.388750000000002</v>
      </c>
      <c r="N9" s="30">
        <f t="shared" si="4"/>
        <v>30.359437499999999</v>
      </c>
      <c r="O9" s="30">
        <f t="shared" si="4"/>
        <v>30.330125000000002</v>
      </c>
      <c r="P9" s="30">
        <f t="shared" si="4"/>
        <v>30.300812499999999</v>
      </c>
      <c r="Q9" s="30">
        <f t="shared" si="4"/>
        <v>30.271499999999996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29.245562499999998</v>
      </c>
      <c r="Y9" s="30">
        <f t="shared" si="4"/>
        <v>29.245562499999998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1969.1643124999998</v>
      </c>
      <c r="G13" s="30">
        <f t="shared" ref="G13:AD13" si="7">SUM(G5:G11)</f>
        <v>93.681874999999991</v>
      </c>
      <c r="H13" s="30">
        <f t="shared" si="7"/>
        <v>93.623249999999999</v>
      </c>
      <c r="I13" s="30">
        <f t="shared" si="7"/>
        <v>86.564625000000007</v>
      </c>
      <c r="J13" s="30">
        <f t="shared" si="7"/>
        <v>100.506</v>
      </c>
      <c r="K13" s="30">
        <f t="shared" si="7"/>
        <v>107.44737499999999</v>
      </c>
      <c r="L13" s="30">
        <f t="shared" si="7"/>
        <v>107.41806249999999</v>
      </c>
      <c r="M13" s="30">
        <f t="shared" si="7"/>
        <v>100.38875</v>
      </c>
      <c r="N13" s="30">
        <f t="shared" si="7"/>
        <v>100.3594375</v>
      </c>
      <c r="O13" s="30">
        <f t="shared" si="7"/>
        <v>100.33012500000001</v>
      </c>
      <c r="P13" s="30">
        <f t="shared" si="7"/>
        <v>100.30081250000001</v>
      </c>
      <c r="Q13" s="30">
        <f t="shared" si="7"/>
        <v>100.2715</v>
      </c>
      <c r="R13" s="30">
        <f t="shared" si="7"/>
        <v>42</v>
      </c>
      <c r="S13" s="30">
        <f t="shared" si="7"/>
        <v>35</v>
      </c>
      <c r="T13" s="30">
        <f t="shared" si="7"/>
        <v>35</v>
      </c>
      <c r="U13" s="30">
        <f t="shared" si="7"/>
        <v>35</v>
      </c>
      <c r="V13" s="30">
        <f t="shared" si="7"/>
        <v>35</v>
      </c>
      <c r="W13" s="30">
        <f t="shared" si="7"/>
        <v>35</v>
      </c>
      <c r="X13" s="30">
        <f t="shared" si="7"/>
        <v>99.245562500000005</v>
      </c>
      <c r="Y13" s="30">
        <f t="shared" si="7"/>
        <v>99.245562500000005</v>
      </c>
      <c r="Z13" s="30">
        <f t="shared" si="7"/>
        <v>91.805875</v>
      </c>
      <c r="AA13" s="30">
        <f t="shared" si="7"/>
        <v>91.805875</v>
      </c>
      <c r="AB13" s="30">
        <f t="shared" si="7"/>
        <v>91.805875</v>
      </c>
      <c r="AC13" s="30">
        <f t="shared" si="7"/>
        <v>93.681874999999991</v>
      </c>
      <c r="AD13" s="30">
        <f t="shared" si="7"/>
        <v>93.681874999999991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5</v>
      </c>
      <c r="C16" s="186">
        <f>VALUE(LEFT(Scénario!K57,1))</f>
        <v>4</v>
      </c>
      <c r="D16" s="186">
        <f>IF(B16&gt;0,VLOOKUP(C16,[1]Trav!$A$86:$D$90,4),0)</f>
        <v>112</v>
      </c>
      <c r="E16" s="186">
        <f>Scénario!K54*2</f>
        <v>6</v>
      </c>
      <c r="F16" s="169">
        <f>IF(B16&gt;0,D16*E16/B16,0)</f>
        <v>134.4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2</v>
      </c>
      <c r="BC39" s="169">
        <f>IF(CdTrp1!I54=1,3,IF(CdTrp1!I54=0.5,2,IF(CdTrp1!I54=0,1,0)))</f>
        <v>2</v>
      </c>
      <c r="BD39" s="169">
        <f>IF(CdTrp1!J54=1,3,IF(CdTrp1!J54=0.5,2,IF(CdTrp1!J54=0,1,0)))</f>
        <v>2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2</v>
      </c>
      <c r="AW40" s="169">
        <f>IF(CdTrp1!C55=1,3,IF(CdTrp1!C55=0.5,2,IF(CdTrp1!C55=0,1,0)))</f>
        <v>2</v>
      </c>
      <c r="AX40" s="169">
        <f>IF(CdTrp1!D55=1,3,IF(CdTrp1!D55=0.5,2,IF(CdTrp1!D55=0,1,0)))</f>
        <v>2</v>
      </c>
      <c r="AY40" s="169">
        <f>IF(CdTrp1!E55=1,3,IF(CdTrp1!E55=0.5,2,IF(CdTrp1!E55=0,1,0)))</f>
        <v>2</v>
      </c>
      <c r="AZ40" s="169">
        <f>IF(CdTrp1!F55=1,3,IF(CdTrp1!F55=0.5,2,IF(CdTrp1!F55=0,1,0)))</f>
        <v>2</v>
      </c>
      <c r="BA40" s="169">
        <f>IF(CdTrp1!G55=1,3,IF(CdTrp1!G55=0.5,2,IF(CdTrp1!G55=0,1,0)))</f>
        <v>2</v>
      </c>
      <c r="BB40" s="169">
        <f>IF(CdTrp1!H55=1,3,IF(CdTrp1!H55=0.5,2,IF(CdTrp1!H55=0,1,0)))</f>
        <v>2</v>
      </c>
      <c r="BC40" s="169">
        <f>IF(CdTrp1!I55=1,3,IF(CdTrp1!I55=0.5,2,IF(CdTrp1!I55=0,1,0)))</f>
        <v>2</v>
      </c>
      <c r="BD40" s="169">
        <f>IF(CdTrp1!J55=1,3,IF(CdTrp1!J55=0.5,2,IF(CdTrp1!J55=0,1,0)))</f>
        <v>2</v>
      </c>
      <c r="BE40" s="169">
        <f>IF(CdTrp1!K55=1,3,IF(CdTrp1!K55=0.5,2,IF(CdTrp1!K55=0,1,0)))</f>
        <v>2</v>
      </c>
      <c r="BF40" s="169">
        <f>IF(CdTrp1!L55=1,3,IF(CdTrp1!L55=0.5,2,IF(CdTrp1!L55=0,1,0)))</f>
        <v>2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2</v>
      </c>
      <c r="BN40" s="169">
        <f>IF(CdTrp1!T55=1,3,IF(CdTrp1!T55=0.5,2,IF(CdTrp1!T55=0,1,0)))</f>
        <v>2</v>
      </c>
      <c r="BO40" s="169">
        <f>IF(CdTrp1!U55=1,3,IF(CdTrp1!U55=0.5,2,IF(CdTrp1!U55=0,1,0)))</f>
        <v>2</v>
      </c>
      <c r="BP40" s="169">
        <f>IF(CdTrp1!V55=1,3,IF(CdTrp1!V55=0.5,2,IF(CdTrp1!V55=0,1,0)))</f>
        <v>2</v>
      </c>
      <c r="BQ40" s="169">
        <f>IF(CdTrp1!W55=1,3,IF(CdTrp1!W55=0.5,2,IF(CdTrp1!W55=0,1,0)))</f>
        <v>2</v>
      </c>
      <c r="BR40" s="169">
        <f>IF(CdTrp1!X55=1,3,IF(CdTrp1!X55=0.5,2,IF(CdTrp1!X55=0,1,0)))</f>
        <v>2</v>
      </c>
      <c r="BS40" s="169">
        <f>IF(CdTrp1!Y55=1,3,IF(CdTrp1!Y55=0.5,2,IF(CdTrp1!Y55=0,1,0)))</f>
        <v>2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2</v>
      </c>
      <c r="BH41" s="169">
        <f>IF(CdTrp1!N56=1,3,IF(CdTrp1!N56=0.5,2,IF(CdTrp1!N56=0,1,0)))</f>
        <v>2</v>
      </c>
      <c r="BI41" s="169">
        <f>IF(CdTrp1!O56=1,3,IF(CdTrp1!O56=0.5,2,IF(CdTrp1!O56=0,1,0)))</f>
        <v>2</v>
      </c>
      <c r="BJ41" s="169">
        <f>IF(CdTrp1!P56=1,3,IF(CdTrp1!P56=0.5,2,IF(CdTrp1!P56=0,1,0)))</f>
        <v>2</v>
      </c>
      <c r="BK41" s="169">
        <f>IF(CdTrp1!Q56=1,3,IF(CdTrp1!Q56=0.5,2,IF(CdTrp1!Q56=0,1,0)))</f>
        <v>2</v>
      </c>
      <c r="BL41" s="169">
        <f>IF(CdTrp1!R56=1,3,IF(CdTrp1!R56=0.5,2,IF(CdTrp1!R56=0,1,0)))</f>
        <v>2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2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1</v>
      </c>
      <c r="BC50" s="169">
        <f>IF(CdTrp1!I78=1,1,IF(CdTrp1!I78=2,2,IF(CdTrp1!I78=3,2,0)))</f>
        <v>1</v>
      </c>
      <c r="BD50" s="169">
        <f>IF(CdTrp1!J78=1,1,IF(CdTrp1!J78=2,2,IF(CdTrp1!J78=3,2,0)))</f>
        <v>1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2</v>
      </c>
      <c r="AW51" s="169">
        <f>IF(CdTrp1!C79=1,1,IF(CdTrp1!C79=2,2,IF(CdTrp1!C79=3,2,0)))</f>
        <v>2</v>
      </c>
      <c r="AX51" s="169">
        <f>IF(CdTrp1!D79=1,1,IF(CdTrp1!D79=2,2,IF(CdTrp1!D79=3,2,0)))</f>
        <v>2</v>
      </c>
      <c r="AY51" s="169">
        <f>IF(CdTrp1!E79=1,1,IF(CdTrp1!E79=2,2,IF(CdTrp1!E79=3,2,0)))</f>
        <v>2</v>
      </c>
      <c r="AZ51" s="169">
        <f>IF(CdTrp1!F79=1,1,IF(CdTrp1!F79=2,2,IF(CdTrp1!F79=3,2,0)))</f>
        <v>2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2</v>
      </c>
      <c r="BP51" s="169">
        <f>IF(CdTrp1!V79=1,1,IF(CdTrp1!V79=2,2,IF(CdTrp1!V79=3,2,0)))</f>
        <v>2</v>
      </c>
      <c r="BQ51" s="169">
        <f>IF(CdTrp1!W79=1,1,IF(CdTrp1!W79=2,2,IF(CdTrp1!W79=3,2,0)))</f>
        <v>2</v>
      </c>
      <c r="BR51" s="169">
        <f>IF(CdTrp1!X79=1,1,IF(CdTrp1!X79=2,2,IF(CdTrp1!X79=3,2,0)))</f>
        <v>2</v>
      </c>
      <c r="BS51" s="169">
        <f>IF(CdTrp1!Y79=1,1,IF(CdTrp1!Y79=2,2,IF(CdTrp1!Y79=3,2,0)))</f>
        <v>2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3.5</v>
      </c>
      <c r="C57" s="186">
        <f>IF(B57&gt;[1]Trav!E121,[1]Trav!C121,[1]Trav!B121)</f>
        <v>7.2</v>
      </c>
      <c r="D57"/>
      <c r="E57" s="168"/>
      <c r="F57" s="169">
        <f t="shared" si="54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222</v>
      </c>
      <c r="AW61" s="169">
        <f>IF(AW16=0,0,IF(AW38=3,0,VALUE(CONCATENATE(Travail!AW27,Travail!AW38,Travail!AW49))))</f>
        <v>222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222</v>
      </c>
      <c r="BA61" s="169">
        <f>IF(BA16=0,0,IF(BA38=3,0,VALUE(CONCATENATE(Travail!BA27,Travail!BA38,Travail!BA49))))</f>
        <v>222</v>
      </c>
      <c r="BB61" s="169">
        <f>IF(BB16=0,0,IF(BB38=3,0,VALUE(CONCATENATE(Travail!BB27,Travail!BB38,Travail!BB49))))</f>
        <v>222</v>
      </c>
      <c r="BC61" s="169">
        <f>IF(BC16=0,0,IF(BC38=3,0,VALUE(CONCATENATE(Travail!BC27,Travail!BC38,Travail!BC49))))</f>
        <v>222</v>
      </c>
      <c r="BD61" s="169">
        <f>IF(BD16=0,0,IF(BD38=3,0,VALUE(CONCATENATE(Travail!BD27,Travail!BD38,Travail!BD49))))</f>
        <v>222</v>
      </c>
      <c r="BE61" s="169">
        <f>IF(BE16=0,0,IF(BE38=3,0,VALUE(CONCATENATE(Travail!BE27,Travail!BE38,Travail!BE49))))</f>
        <v>222</v>
      </c>
      <c r="BF61" s="169">
        <f>IF(BF16=0,0,IF(BF38=3,0,VALUE(CONCATENATE(Travail!BF27,Travail!BF38,Travail!BF49))))</f>
        <v>222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222</v>
      </c>
      <c r="BN61" s="169">
        <f>IF(BN16=0,0,IF(BN38=3,0,VALUE(CONCATENATE(Travail!BN27,Travail!BN38,Travail!BN49))))</f>
        <v>222</v>
      </c>
      <c r="BO61" s="169">
        <f>IF(BO16=0,0,IF(BO38=3,0,VALUE(CONCATENATE(Travail!BO27,Travail!BO38,Travail!BO49))))</f>
        <v>222</v>
      </c>
      <c r="BP61" s="169">
        <f>IF(BP16=0,0,IF(BP38=3,0,VALUE(CONCATENATE(Travail!BP27,Travail!BP38,Travail!BP49))))</f>
        <v>222</v>
      </c>
      <c r="BQ61" s="169">
        <f>IF(BQ16=0,0,IF(BQ38=3,0,VALUE(CONCATENATE(Travail!BQ27,Travail!BQ38,Travail!BQ49))))</f>
        <v>222</v>
      </c>
      <c r="BR61" s="169">
        <f>IF(BR16=0,0,IF(BR38=3,0,VALUE(CONCATENATE(Travail!BR27,Travail!BR38,Travail!BR49))))</f>
        <v>222</v>
      </c>
      <c r="BS61" s="169">
        <f>IF(BS16=0,0,IF(BS38=3,0,VALUE(CONCATENATE(Travail!BS27,Travail!BS38,Travail!BS49))))</f>
        <v>222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221</v>
      </c>
      <c r="BC62" s="169">
        <f>IF(BC17=0,0,IF(BC39=3,0,VALUE(CONCATENATE(Travail!BC28,Travail!BC39,Travail!BC50))))</f>
        <v>221</v>
      </c>
      <c r="BD62" s="169">
        <f>IF(BD17=0,0,IF(BD39=3,0,VALUE(CONCATENATE(Travail!BD28,Travail!BD39,Travail!BD50))))</f>
        <v>221</v>
      </c>
      <c r="BE62" s="169">
        <f>IF(BE17=0,0,IF(BE39=3,0,VALUE(CONCATENATE(Travail!BE28,Travail!BE39,Travail!BE50))))</f>
        <v>221</v>
      </c>
      <c r="BF62" s="169">
        <f>IF(BF17=0,0,IF(BF39=3,0,VALUE(CONCATENATE(Travail!BF28,Travail!BF39,Travail!BF50))))</f>
        <v>221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221</v>
      </c>
      <c r="BN62" s="169">
        <f>IF(BN17=0,0,IF(BN39=3,0,VALUE(CONCATENATE(Travail!BN28,Travail!BN39,Travail!BN50))))</f>
        <v>221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222</v>
      </c>
      <c r="AW63" s="169">
        <f>IF(AW18=0,0,IF(AW40=3,0,VALUE(CONCATENATE(Travail!AW29,Travail!AW40,Travail!AW51))))</f>
        <v>222</v>
      </c>
      <c r="AX63" s="169">
        <f>IF(AX18=0,0,IF(AX40=3,0,VALUE(CONCATENATE(Travail!AX29,Travail!AX40,Travail!AX51))))</f>
        <v>222</v>
      </c>
      <c r="AY63" s="169">
        <f>IF(AY18=0,0,IF(AY40=3,0,VALUE(CONCATENATE(Travail!AY29,Travail!AY40,Travail!AY51))))</f>
        <v>222</v>
      </c>
      <c r="AZ63" s="169">
        <f>IF(AZ18=0,0,IF(AZ40=3,0,VALUE(CONCATENATE(Travail!AZ29,Travail!AZ40,Travail!AZ51))))</f>
        <v>222</v>
      </c>
      <c r="BA63" s="169">
        <f>IF(BA18=0,0,IF(BA40=3,0,VALUE(CONCATENATE(Travail!BA29,Travail!BA40,Travail!BA51))))</f>
        <v>222</v>
      </c>
      <c r="BB63" s="169">
        <f>IF(BB18=0,0,IF(BB40=3,0,VALUE(CONCATENATE(Travail!BB29,Travail!BB40,Travail!BB51))))</f>
        <v>222</v>
      </c>
      <c r="BC63" s="169">
        <f>IF(BC18=0,0,IF(BC40=3,0,VALUE(CONCATENATE(Travail!BC29,Travail!BC40,Travail!BC51))))</f>
        <v>222</v>
      </c>
      <c r="BD63" s="169">
        <f>IF(BD18=0,0,IF(BD40=3,0,VALUE(CONCATENATE(Travail!BD29,Travail!BD40,Travail!BD51))))</f>
        <v>222</v>
      </c>
      <c r="BE63" s="169">
        <f>IF(BE18=0,0,IF(BE40=3,0,VALUE(CONCATENATE(Travail!BE29,Travail!BE40,Travail!BE51))))</f>
        <v>222</v>
      </c>
      <c r="BF63" s="169">
        <f>IF(BF18=0,0,IF(BF40=3,0,VALUE(CONCATENATE(Travail!BF29,Travail!BF40,Travail!BF51))))</f>
        <v>222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222</v>
      </c>
      <c r="BN63" s="169">
        <f>IF(BN18=0,0,IF(BN40=3,0,VALUE(CONCATENATE(Travail!BN29,Travail!BN40,Travail!BN51))))</f>
        <v>222</v>
      </c>
      <c r="BO63" s="169">
        <f>IF(BO18=0,0,IF(BO40=3,0,VALUE(CONCATENATE(Travail!BO29,Travail!BO40,Travail!BO51))))</f>
        <v>222</v>
      </c>
      <c r="BP63" s="169">
        <f>IF(BP18=0,0,IF(BP40=3,0,VALUE(CONCATENATE(Travail!BP29,Travail!BP40,Travail!BP51))))</f>
        <v>222</v>
      </c>
      <c r="BQ63" s="169">
        <f>IF(BQ18=0,0,IF(BQ40=3,0,VALUE(CONCATENATE(Travail!BQ29,Travail!BQ40,Travail!BQ51))))</f>
        <v>222</v>
      </c>
      <c r="BR63" s="169">
        <f>IF(BR18=0,0,IF(BR40=3,0,VALUE(CONCATENATE(Travail!BR29,Travail!BR40,Travail!BR51))))</f>
        <v>222</v>
      </c>
      <c r="BS63" s="169">
        <f>IF(BS18=0,0,IF(BS40=3,0,VALUE(CONCATENATE(Travail!BS29,Travail!BS40,Travail!BS51))))</f>
        <v>222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222</v>
      </c>
      <c r="BH64" s="169">
        <f>IF(BH19=0,0,IF(BH41=3,0,VALUE(CONCATENATE(Travail!BH30,Travail!BH41,Travail!BH52))))</f>
        <v>221</v>
      </c>
      <c r="BI64" s="169">
        <f>IF(BI19=0,0,IF(BI41=3,0,VALUE(CONCATENATE(Travail!BI30,Travail!BI41,Travail!BI52))))</f>
        <v>221</v>
      </c>
      <c r="BJ64" s="169">
        <f>IF(BJ19=0,0,IF(BJ41=3,0,VALUE(CONCATENATE(Travail!BJ30,Travail!BJ41,Travail!BJ52))))</f>
        <v>221</v>
      </c>
      <c r="BK64" s="169">
        <f>IF(BK19=0,0,IF(BK41=3,0,VALUE(CONCATENATE(Travail!BK30,Travail!BK41,Travail!BK52))))</f>
        <v>221</v>
      </c>
      <c r="BL64" s="169">
        <f>IF(BL19=0,0,IF(BL41=3,0,VALUE(CONCATENATE(Travail!BL30,Travail!BL41,Travail!BL52))))</f>
        <v>221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22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22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295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20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20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22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22</v>
      </c>
      <c r="BC73" s="169">
        <f t="shared" si="67"/>
        <v>22</v>
      </c>
      <c r="BD73" s="169">
        <f t="shared" si="67"/>
        <v>22</v>
      </c>
      <c r="BE73" s="169">
        <f t="shared" si="67"/>
        <v>22</v>
      </c>
      <c r="BF73" s="169">
        <f t="shared" si="67"/>
        <v>22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22</v>
      </c>
      <c r="BN73" s="169">
        <f t="shared" si="67"/>
        <v>22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22</v>
      </c>
      <c r="AW74" s="169">
        <f t="shared" si="70"/>
        <v>22</v>
      </c>
      <c r="AX74" s="169">
        <f t="shared" si="70"/>
        <v>22</v>
      </c>
      <c r="AY74" s="169">
        <f t="shared" si="70"/>
        <v>22</v>
      </c>
      <c r="AZ74" s="169">
        <f t="shared" si="70"/>
        <v>22</v>
      </c>
      <c r="BA74" s="169">
        <f t="shared" si="70"/>
        <v>22</v>
      </c>
      <c r="BB74" s="169">
        <f t="shared" si="70"/>
        <v>22</v>
      </c>
      <c r="BC74" s="169">
        <f t="shared" si="70"/>
        <v>22</v>
      </c>
      <c r="BD74" s="169">
        <f t="shared" si="70"/>
        <v>22</v>
      </c>
      <c r="BE74" s="169">
        <f t="shared" si="70"/>
        <v>22</v>
      </c>
      <c r="BF74" s="169">
        <f t="shared" si="70"/>
        <v>22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22</v>
      </c>
      <c r="BN74" s="169">
        <f t="shared" si="70"/>
        <v>22</v>
      </c>
      <c r="BO74" s="169">
        <f t="shared" si="70"/>
        <v>22</v>
      </c>
      <c r="BP74" s="169">
        <f t="shared" si="70"/>
        <v>22</v>
      </c>
      <c r="BQ74" s="169">
        <f t="shared" si="70"/>
        <v>22</v>
      </c>
      <c r="BR74" s="169">
        <f t="shared" si="70"/>
        <v>22</v>
      </c>
      <c r="BS74" s="169">
        <f t="shared" si="70"/>
        <v>22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22</v>
      </c>
      <c r="BH75" s="169">
        <f t="shared" si="73"/>
        <v>22</v>
      </c>
      <c r="BI75" s="169">
        <f t="shared" si="73"/>
        <v>22</v>
      </c>
      <c r="BJ75" s="169">
        <f t="shared" si="73"/>
        <v>22</v>
      </c>
      <c r="BK75" s="169">
        <f t="shared" si="73"/>
        <v>22</v>
      </c>
      <c r="BL75" s="169">
        <f t="shared" si="73"/>
        <v>22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400</v>
      </c>
      <c r="G77" s="46">
        <f t="shared" ref="G77:AD77" si="79">+SUM(G69:G76)</f>
        <v>13.5</v>
      </c>
      <c r="H77" s="46">
        <f t="shared" si="79"/>
        <v>13.5</v>
      </c>
      <c r="I77" s="46">
        <f t="shared" si="79"/>
        <v>13.5</v>
      </c>
      <c r="J77" s="46">
        <f t="shared" si="79"/>
        <v>18.5</v>
      </c>
      <c r="K77" s="46">
        <f t="shared" si="79"/>
        <v>18.5</v>
      </c>
      <c r="L77" s="46">
        <f t="shared" si="79"/>
        <v>18.5</v>
      </c>
      <c r="M77" s="46">
        <f t="shared" si="79"/>
        <v>23.5</v>
      </c>
      <c r="N77" s="46">
        <f t="shared" si="79"/>
        <v>23.5</v>
      </c>
      <c r="O77" s="46">
        <f t="shared" si="79"/>
        <v>23.5</v>
      </c>
      <c r="P77" s="46">
        <f t="shared" si="79"/>
        <v>23.5</v>
      </c>
      <c r="Q77" s="46">
        <f t="shared" si="79"/>
        <v>23.5</v>
      </c>
      <c r="R77" s="46">
        <f t="shared" si="79"/>
        <v>12</v>
      </c>
      <c r="S77" s="46">
        <f t="shared" si="79"/>
        <v>12</v>
      </c>
      <c r="T77" s="46">
        <f t="shared" si="79"/>
        <v>12</v>
      </c>
      <c r="U77" s="46">
        <f t="shared" si="79"/>
        <v>12</v>
      </c>
      <c r="V77" s="46">
        <f t="shared" si="79"/>
        <v>12</v>
      </c>
      <c r="W77" s="46">
        <f t="shared" si="79"/>
        <v>12</v>
      </c>
      <c r="X77" s="46">
        <f t="shared" si="79"/>
        <v>23.5</v>
      </c>
      <c r="Y77" s="46">
        <f t="shared" si="79"/>
        <v>23.5</v>
      </c>
      <c r="Z77" s="46">
        <f t="shared" si="79"/>
        <v>13.5</v>
      </c>
      <c r="AA77" s="46">
        <f t="shared" si="79"/>
        <v>13.5</v>
      </c>
      <c r="AB77" s="46">
        <f t="shared" si="79"/>
        <v>13.5</v>
      </c>
      <c r="AC77" s="46">
        <f t="shared" si="79"/>
        <v>13.5</v>
      </c>
      <c r="AD77" s="46">
        <f t="shared" si="79"/>
        <v>13.5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1.43</v>
      </c>
      <c r="C81" s="186">
        <f>[1]Protect!$B$10</f>
        <v>4</v>
      </c>
      <c r="D81" s="168"/>
      <c r="E81" s="168"/>
      <c r="F81" s="169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2</v>
      </c>
      <c r="AW81" s="169">
        <f t="shared" si="92"/>
        <v>2</v>
      </c>
      <c r="AX81" s="169">
        <f t="shared" si="92"/>
        <v>2</v>
      </c>
      <c r="AY81" s="169">
        <f t="shared" si="92"/>
        <v>1</v>
      </c>
      <c r="AZ81" s="169">
        <f t="shared" si="92"/>
        <v>1</v>
      </c>
      <c r="BA81" s="169">
        <f t="shared" si="92"/>
        <v>1</v>
      </c>
      <c r="BB81" s="169">
        <f t="shared" si="92"/>
        <v>0</v>
      </c>
      <c r="BC81" s="169">
        <f t="shared" si="92"/>
        <v>0</v>
      </c>
      <c r="BD81" s="169">
        <f t="shared" si="92"/>
        <v>0</v>
      </c>
      <c r="BE81" s="169">
        <f t="shared" si="92"/>
        <v>0</v>
      </c>
      <c r="BF81" s="169">
        <f t="shared" si="92"/>
        <v>0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0</v>
      </c>
      <c r="BN81" s="169">
        <f t="shared" si="92"/>
        <v>0</v>
      </c>
      <c r="BO81" s="169">
        <f t="shared" si="92"/>
        <v>1</v>
      </c>
      <c r="BP81" s="169">
        <f t="shared" si="92"/>
        <v>1</v>
      </c>
      <c r="BQ81" s="169">
        <f t="shared" si="92"/>
        <v>1</v>
      </c>
      <c r="BR81" s="169">
        <f t="shared" si="92"/>
        <v>2</v>
      </c>
      <c r="BS81" s="169">
        <f t="shared" si="92"/>
        <v>2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5.8479999999999999</v>
      </c>
      <c r="C83" s="186">
        <f>[1]Protect!$B$24+[1]Protect!$B$26</f>
        <v>0.33</v>
      </c>
      <c r="D83" s="168"/>
      <c r="E83" s="168"/>
      <c r="F83" s="169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2</v>
      </c>
      <c r="AW83" s="169">
        <f t="shared" si="98"/>
        <v>2</v>
      </c>
      <c r="AX83" s="169">
        <f t="shared" si="98"/>
        <v>2</v>
      </c>
      <c r="AY83" s="169">
        <f t="shared" si="98"/>
        <v>3</v>
      </c>
      <c r="AZ83" s="169">
        <f t="shared" si="98"/>
        <v>3</v>
      </c>
      <c r="BA83" s="169">
        <f t="shared" si="98"/>
        <v>3</v>
      </c>
      <c r="BB83" s="169">
        <f t="shared" si="98"/>
        <v>4</v>
      </c>
      <c r="BC83" s="169">
        <f t="shared" si="98"/>
        <v>4</v>
      </c>
      <c r="BD83" s="169">
        <f t="shared" si="98"/>
        <v>4</v>
      </c>
      <c r="BE83" s="169">
        <f t="shared" si="98"/>
        <v>4</v>
      </c>
      <c r="BF83" s="169">
        <f t="shared" si="98"/>
        <v>4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4</v>
      </c>
      <c r="BN83" s="169">
        <f t="shared" si="98"/>
        <v>4</v>
      </c>
      <c r="BO83" s="169">
        <f t="shared" si="98"/>
        <v>2</v>
      </c>
      <c r="BP83" s="169">
        <f t="shared" si="98"/>
        <v>2</v>
      </c>
      <c r="BQ83" s="169">
        <f t="shared" si="98"/>
        <v>2</v>
      </c>
      <c r="BR83" s="169">
        <f t="shared" si="98"/>
        <v>2</v>
      </c>
      <c r="BS83" s="169">
        <f t="shared" si="98"/>
        <v>2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22</v>
      </c>
      <c r="BC85" s="62">
        <f t="shared" si="104"/>
        <v>22</v>
      </c>
      <c r="BD85" s="62">
        <f t="shared" si="104"/>
        <v>22</v>
      </c>
      <c r="BE85" s="62">
        <f t="shared" si="104"/>
        <v>22</v>
      </c>
      <c r="BF85" s="62">
        <f t="shared" si="104"/>
        <v>22</v>
      </c>
      <c r="BG85" s="62">
        <f t="shared" si="104"/>
        <v>22</v>
      </c>
      <c r="BH85" s="62">
        <f t="shared" si="104"/>
        <v>22</v>
      </c>
      <c r="BI85" s="62">
        <f t="shared" si="104"/>
        <v>22</v>
      </c>
      <c r="BJ85" s="62">
        <f t="shared" si="104"/>
        <v>22</v>
      </c>
      <c r="BK85" s="62">
        <f t="shared" si="104"/>
        <v>22</v>
      </c>
      <c r="BL85" s="62">
        <f t="shared" si="104"/>
        <v>22</v>
      </c>
      <c r="BM85" s="62">
        <f t="shared" si="104"/>
        <v>22</v>
      </c>
      <c r="BN85" s="62">
        <f t="shared" si="104"/>
        <v>22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0.60000000000000009</v>
      </c>
      <c r="C86" s="170"/>
      <c r="D86" s="170"/>
      <c r="E86" s="170"/>
      <c r="F86" s="169">
        <f>B86*[1]Eco!$B$108*[1]Eco!$B$109</f>
        <v>144.00000000000003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21</v>
      </c>
      <c r="BC86" s="186">
        <f>IF(BC85=0,0,HLOOKUP(BC85,[1]Trav!$C$39:$G$59,$AU$105))</f>
        <v>21</v>
      </c>
      <c r="BD86" s="186">
        <f>IF(BD85=0,0,HLOOKUP(BD85,[1]Trav!$C$39:$G$59,$AU$105))</f>
        <v>21</v>
      </c>
      <c r="BE86" s="186">
        <f>IF(BE85=0,0,HLOOKUP(BE85,[1]Trav!$C$39:$G$59,$AU$105))</f>
        <v>21</v>
      </c>
      <c r="BF86" s="186">
        <f>IF(BF85=0,0,HLOOKUP(BF85,[1]Trav!$C$39:$G$59,$AU$105))</f>
        <v>21</v>
      </c>
      <c r="BG86" s="186">
        <f>IF(BG85=0,0,HLOOKUP(BG85,[1]Trav!$C$39:$G$59,$AU$105))</f>
        <v>21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21</v>
      </c>
      <c r="BM86" s="186">
        <f>IF(BM85=0,0,HLOOKUP(BM85,[1]Trav!$C$39:$G$59,$AU$105))</f>
        <v>21</v>
      </c>
      <c r="BN86" s="186">
        <f>IF(BN85=0,0,HLOOKUP(BN85,[1]Trav!$C$39:$G$59,$AU$105))</f>
        <v>21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190.11250000000001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1969.1643125000001</v>
      </c>
      <c r="C91" s="5"/>
      <c r="D91" s="184">
        <f>B91/Troupeau!$B$17</f>
        <v>7.3476280317164182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0.83750000000000002</v>
      </c>
      <c r="BN93" s="169">
        <f t="shared" si="119"/>
        <v>0.83750000000000002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1969.1643125000001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16.75</v>
      </c>
      <c r="BH94" s="169">
        <f t="shared" si="122"/>
        <v>16.75</v>
      </c>
      <c r="BI94" s="169">
        <f t="shared" si="122"/>
        <v>16.75</v>
      </c>
      <c r="BJ94" s="169">
        <f t="shared" si="122"/>
        <v>16.75</v>
      </c>
      <c r="BK94" s="169">
        <f t="shared" si="122"/>
        <v>16.75</v>
      </c>
      <c r="BL94" s="169">
        <f t="shared" si="122"/>
        <v>16.75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134.4</v>
      </c>
      <c r="C95" s="5"/>
      <c r="D95" s="184">
        <f>B95/Troupeau!$B$17</f>
        <v>0.50149253731343291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134.4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314.89999999999998</v>
      </c>
      <c r="BG99" s="62">
        <f t="shared" si="137"/>
        <v>16.75</v>
      </c>
      <c r="BH99" s="62">
        <f t="shared" si="137"/>
        <v>16.75</v>
      </c>
      <c r="BI99" s="62">
        <f t="shared" si="137"/>
        <v>16.75</v>
      </c>
      <c r="BJ99" s="62">
        <f t="shared" si="137"/>
        <v>16.75</v>
      </c>
      <c r="BK99" s="62">
        <f t="shared" si="137"/>
        <v>16.75</v>
      </c>
      <c r="BL99" s="62">
        <f t="shared" si="137"/>
        <v>16.75</v>
      </c>
      <c r="BM99" s="62">
        <f t="shared" si="137"/>
        <v>285.58749999999998</v>
      </c>
      <c r="BN99" s="62">
        <f t="shared" si="137"/>
        <v>285.58749999999998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6.2979999999999992</v>
      </c>
      <c r="BG100" s="169">
        <f t="shared" si="140"/>
        <v>0.33500000000000002</v>
      </c>
      <c r="BH100" s="169">
        <f t="shared" si="140"/>
        <v>0.33500000000000002</v>
      </c>
      <c r="BI100" s="169">
        <f t="shared" si="140"/>
        <v>0.33500000000000002</v>
      </c>
      <c r="BJ100" s="169">
        <f t="shared" si="140"/>
        <v>0.33500000000000002</v>
      </c>
      <c r="BK100" s="169">
        <f t="shared" si="140"/>
        <v>0.33500000000000002</v>
      </c>
      <c r="BL100" s="169">
        <f t="shared" si="140"/>
        <v>0.33500000000000002</v>
      </c>
      <c r="BM100" s="169">
        <f t="shared" si="140"/>
        <v>5.7117499999999994</v>
      </c>
      <c r="BN100" s="169">
        <f t="shared" si="140"/>
        <v>5.7117499999999994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5.2979999999999992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4.7117499999999994</v>
      </c>
      <c r="BN101" s="169">
        <f t="shared" si="143"/>
        <v>4.7117499999999994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30.388750000000002</v>
      </c>
      <c r="BC102" s="62">
        <f t="shared" si="146"/>
        <v>30.359437499999999</v>
      </c>
      <c r="BD102" s="62">
        <f t="shared" si="146"/>
        <v>30.330125000000002</v>
      </c>
      <c r="BE102" s="62">
        <f t="shared" si="146"/>
        <v>30.300812499999999</v>
      </c>
      <c r="BF102" s="62">
        <f t="shared" si="146"/>
        <v>30.271499999999996</v>
      </c>
      <c r="BG102" s="62">
        <f t="shared" si="146"/>
        <v>21</v>
      </c>
      <c r="BH102" s="62">
        <f t="shared" si="146"/>
        <v>21</v>
      </c>
      <c r="BI102" s="62">
        <f t="shared" si="146"/>
        <v>21</v>
      </c>
      <c r="BJ102" s="62">
        <f t="shared" si="146"/>
        <v>21</v>
      </c>
      <c r="BK102" s="62">
        <f t="shared" si="146"/>
        <v>21</v>
      </c>
      <c r="BL102" s="62">
        <f t="shared" si="146"/>
        <v>21</v>
      </c>
      <c r="BM102" s="62">
        <f t="shared" si="146"/>
        <v>29.245562499999998</v>
      </c>
      <c r="BN102" s="62">
        <f t="shared" si="146"/>
        <v>29.245562499999998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14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14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21</v>
      </c>
      <c r="AW107" s="186">
        <f>IF(AW61&gt;0,HLOOKUP(AW61,[1]Trav!$C$11:$O$31,$AU$105),0)</f>
        <v>21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21</v>
      </c>
      <c r="BA107" s="186">
        <f>IF(BA61&gt;0,HLOOKUP(BA61,[1]Trav!$C$11:$O$31,$AU$105),0)</f>
        <v>21</v>
      </c>
      <c r="BB107" s="186">
        <f>IF(BB61&gt;0,HLOOKUP(BB61,[1]Trav!$C$11:$O$31,$AU$105),0)</f>
        <v>21</v>
      </c>
      <c r="BC107" s="186">
        <f>IF(BC61&gt;0,HLOOKUP(BC61,[1]Trav!$C$11:$O$31,$AU$105),0)</f>
        <v>21</v>
      </c>
      <c r="BD107" s="186">
        <f>IF(BD61&gt;0,HLOOKUP(BD61,[1]Trav!$C$11:$O$31,$AU$105),0)</f>
        <v>21</v>
      </c>
      <c r="BE107" s="186">
        <f>IF(BE61&gt;0,HLOOKUP(BE61,[1]Trav!$C$11:$O$31,$AU$105),0)</f>
        <v>21</v>
      </c>
      <c r="BF107" s="186">
        <f>IF(BF61&gt;0,HLOOKUP(BF61,[1]Trav!$C$11:$O$31,$AU$105),0)</f>
        <v>21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21</v>
      </c>
      <c r="BN107" s="186">
        <f>IF(BN61&gt;0,HLOOKUP(BN61,[1]Trav!$C$11:$O$31,$AU$105),0)</f>
        <v>21</v>
      </c>
      <c r="BO107" s="186">
        <f>IF(BO61&gt;0,HLOOKUP(BO61,[1]Trav!$C$11:$O$31,$AU$105),0)</f>
        <v>21</v>
      </c>
      <c r="BP107" s="186">
        <f>IF(BP61&gt;0,HLOOKUP(BP61,[1]Trav!$C$11:$O$31,$AU$105),0)</f>
        <v>21</v>
      </c>
      <c r="BQ107" s="186">
        <f>IF(BQ61&gt;0,HLOOKUP(BQ61,[1]Trav!$C$11:$O$31,$AU$105),0)</f>
        <v>21</v>
      </c>
      <c r="BR107" s="186">
        <f>IF(BR61&gt;0,HLOOKUP(BR61,[1]Trav!$C$11:$O$31,$AU$105),0)</f>
        <v>21</v>
      </c>
      <c r="BS107" s="186">
        <f>IF(BS61&gt;0,HLOOKUP(BS61,[1]Trav!$C$11:$O$31,$AU$105),0)</f>
        <v>21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221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14</v>
      </c>
      <c r="BC108" s="186">
        <f>IF(BC62&gt;0,HLOOKUP(BC62,[1]Trav!$C$11:$O$31,$AU$105),0)</f>
        <v>14</v>
      </c>
      <c r="BD108" s="186">
        <f>IF(BD62&gt;0,HLOOKUP(BD62,[1]Trav!$C$11:$O$31,$AU$105),0)</f>
        <v>14</v>
      </c>
      <c r="BE108" s="186">
        <f>IF(BE62&gt;0,HLOOKUP(BE62,[1]Trav!$C$11:$O$31,$AU$105),0)</f>
        <v>14</v>
      </c>
      <c r="BF108" s="186">
        <f>IF(BF62&gt;0,HLOOKUP(BF62,[1]Trav!$C$11:$O$31,$AU$105),0)</f>
        <v>14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14</v>
      </c>
      <c r="BN108" s="186">
        <f>IF(BN62&gt;0,HLOOKUP(BN62,[1]Trav!$C$11:$O$31,$AU$105),0)</f>
        <v>14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295</v>
      </c>
      <c r="D109" s="185"/>
      <c r="AT109" s="187" t="str">
        <f t="shared" si="149"/>
        <v>Béliers</v>
      </c>
      <c r="AV109" s="186">
        <f>IF(AV63&gt;0,HLOOKUP(AV63,[1]Trav!$C$11:$O$31,$AU$105),0)</f>
        <v>21</v>
      </c>
      <c r="AW109" s="186">
        <f>IF(AW63&gt;0,HLOOKUP(AW63,[1]Trav!$C$11:$O$31,$AU$105),0)</f>
        <v>21</v>
      </c>
      <c r="AX109" s="186">
        <f>IF(AX63&gt;0,HLOOKUP(AX63,[1]Trav!$C$11:$O$31,$AU$105),0)</f>
        <v>21</v>
      </c>
      <c r="AY109" s="186">
        <f>IF(AY63&gt;0,HLOOKUP(AY63,[1]Trav!$C$11:$O$31,$AU$105),0)</f>
        <v>21</v>
      </c>
      <c r="AZ109" s="186">
        <f>IF(AZ63&gt;0,HLOOKUP(AZ63,[1]Trav!$C$11:$O$31,$AU$105),0)</f>
        <v>21</v>
      </c>
      <c r="BA109" s="186">
        <f>IF(BA63&gt;0,HLOOKUP(BA63,[1]Trav!$C$11:$O$31,$AU$105),0)</f>
        <v>21</v>
      </c>
      <c r="BB109" s="186">
        <f>IF(BB63&gt;0,HLOOKUP(BB63,[1]Trav!$C$11:$O$31,$AU$105),0)</f>
        <v>21</v>
      </c>
      <c r="BC109" s="186">
        <f>IF(BC63&gt;0,HLOOKUP(BC63,[1]Trav!$C$11:$O$31,$AU$105),0)</f>
        <v>21</v>
      </c>
      <c r="BD109" s="186">
        <f>IF(BD63&gt;0,HLOOKUP(BD63,[1]Trav!$C$11:$O$31,$AU$105),0)</f>
        <v>21</v>
      </c>
      <c r="BE109" s="186">
        <f>IF(BE63&gt;0,HLOOKUP(BE63,[1]Trav!$C$11:$O$31,$AU$105),0)</f>
        <v>21</v>
      </c>
      <c r="BF109" s="186">
        <f>IF(BF63&gt;0,HLOOKUP(BF63,[1]Trav!$C$11:$O$31,$AU$105),0)</f>
        <v>21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21</v>
      </c>
      <c r="BN109" s="186">
        <f>IF(BN63&gt;0,HLOOKUP(BN63,[1]Trav!$C$11:$O$31,$AU$105),0)</f>
        <v>21</v>
      </c>
      <c r="BO109" s="186">
        <f>IF(BO63&gt;0,HLOOKUP(BO63,[1]Trav!$C$11:$O$31,$AU$105),0)</f>
        <v>21</v>
      </c>
      <c r="BP109" s="186">
        <f>IF(BP63&gt;0,HLOOKUP(BP63,[1]Trav!$C$11:$O$31,$AU$105),0)</f>
        <v>21</v>
      </c>
      <c r="BQ109" s="186">
        <f>IF(BQ63&gt;0,HLOOKUP(BQ63,[1]Trav!$C$11:$O$31,$AU$105),0)</f>
        <v>21</v>
      </c>
      <c r="BR109" s="186">
        <f>IF(BR63&gt;0,HLOOKUP(BR63,[1]Trav!$C$11:$O$31,$AU$105),0)</f>
        <v>21</v>
      </c>
      <c r="BS109" s="186">
        <f>IF(BS63&gt;0,HLOOKUP(BS63,[1]Trav!$C$11:$O$31,$AU$105),0)</f>
        <v>21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21</v>
      </c>
      <c r="BH110" s="186">
        <f>IF(BH64&gt;0,HLOOKUP(BH64,[1]Trav!$C$11:$O$31,$AU$105),0)</f>
        <v>14</v>
      </c>
      <c r="BI110" s="186">
        <f>IF(BI64&gt;0,HLOOKUP(BI64,[1]Trav!$C$11:$O$31,$AU$105),0)</f>
        <v>14</v>
      </c>
      <c r="BJ110" s="186">
        <f>IF(BJ64&gt;0,HLOOKUP(BJ64,[1]Trav!$C$11:$O$31,$AU$105),0)</f>
        <v>14</v>
      </c>
      <c r="BK110" s="186">
        <f>IF(BK64&gt;0,HLOOKUP(BK64,[1]Trav!$C$11:$O$31,$AU$105),0)</f>
        <v>14</v>
      </c>
      <c r="BL110" s="186">
        <f>IF(BL64&gt;0,HLOOKUP(BL64,[1]Trav!$C$11:$O$31,$AU$105),0)</f>
        <v>14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295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21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46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6.6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144.00000000000003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42</v>
      </c>
      <c r="AW117" s="169">
        <f t="shared" si="152"/>
        <v>42</v>
      </c>
      <c r="AX117" s="169">
        <f t="shared" si="152"/>
        <v>35</v>
      </c>
      <c r="AY117" s="169">
        <f t="shared" si="152"/>
        <v>49</v>
      </c>
      <c r="AZ117" s="169">
        <f t="shared" si="152"/>
        <v>56</v>
      </c>
      <c r="BA117" s="169">
        <f t="shared" si="152"/>
        <v>56</v>
      </c>
      <c r="BB117" s="169">
        <f t="shared" si="152"/>
        <v>70</v>
      </c>
      <c r="BC117" s="169">
        <f t="shared" si="152"/>
        <v>70</v>
      </c>
      <c r="BD117" s="169">
        <f t="shared" si="152"/>
        <v>70</v>
      </c>
      <c r="BE117" s="169">
        <f t="shared" si="152"/>
        <v>70</v>
      </c>
      <c r="BF117" s="169">
        <f t="shared" si="152"/>
        <v>70</v>
      </c>
      <c r="BG117" s="169">
        <f t="shared" si="152"/>
        <v>21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70</v>
      </c>
      <c r="BN117" s="169">
        <f t="shared" si="152"/>
        <v>70</v>
      </c>
      <c r="BO117" s="169">
        <f t="shared" si="152"/>
        <v>42</v>
      </c>
      <c r="BP117" s="169">
        <f t="shared" si="152"/>
        <v>42</v>
      </c>
      <c r="BQ117" s="169">
        <f t="shared" si="152"/>
        <v>42</v>
      </c>
      <c r="BR117" s="169">
        <f t="shared" si="152"/>
        <v>42</v>
      </c>
      <c r="BS117" s="169">
        <f t="shared" si="152"/>
        <v>42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3169.4876458333338</v>
      </c>
      <c r="D118" s="184">
        <f>B118/Troupeau!$B$17</f>
        <v>11.826446439676619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3169.4876458333338</v>
      </c>
    </row>
    <row r="123" spans="1:132" x14ac:dyDescent="0.25">
      <c r="A123" s="2" t="s">
        <v>765</v>
      </c>
      <c r="B123" s="30">
        <f>B108</f>
        <v>221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316</v>
      </c>
    </row>
    <row r="126" spans="1:132" x14ac:dyDescent="0.25">
      <c r="A126" s="2" t="s">
        <v>762</v>
      </c>
      <c r="B126" s="30">
        <f>B114+B115+B116</f>
        <v>196.60000000000002</v>
      </c>
    </row>
    <row r="128" spans="1:132" x14ac:dyDescent="0.25">
      <c r="A128" s="2" t="s">
        <v>761</v>
      </c>
      <c r="B128" s="183">
        <f>SUM(B122:B126)</f>
        <v>4343.0876458333341</v>
      </c>
    </row>
    <row r="129" spans="1:2" x14ac:dyDescent="0.25">
      <c r="A129" s="2" t="s">
        <v>760</v>
      </c>
      <c r="B129" s="30">
        <f>IF(Scénario!K129=1,Travail!F77+Travail!F86,F86)</f>
        <v>544</v>
      </c>
    </row>
    <row r="130" spans="1:2" x14ac:dyDescent="0.25">
      <c r="A130" s="2" t="s">
        <v>759</v>
      </c>
      <c r="B130" s="183">
        <f>ROUND((B128-B129)/(Scénario!K4+Scénario!K6),0)</f>
        <v>3799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243" zoomScale="90" zoomScaleNormal="90" workbookViewId="0">
      <selection activeCell="V253" sqref="V253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8839.2000000000007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87708.180000000008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2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1</v>
      </c>
      <c r="BC50" s="237">
        <f>IF(CdTrp1!I78=1,1,IF(CdTrp1!I78=2,2,IF(CdTrp1!I78=3,2,0)))</f>
        <v>1</v>
      </c>
      <c r="BD50" s="237">
        <f>IF(CdTrp1!J78=1,1,IF(CdTrp1!J78=2,2,IF(CdTrp1!J78=3,2,0)))</f>
        <v>1</v>
      </c>
      <c r="BE50" s="237">
        <f>IF(CdTrp1!K78=1,1,IF(CdTrp1!K78=2,2,IF(CdTrp1!K78=3,2,0)))</f>
        <v>1</v>
      </c>
      <c r="BF50" s="237">
        <f>IF(CdTrp1!L78=1,1,IF(CdTrp1!L78=2,2,IF(CdTrp1!L78=3,2,0)))</f>
        <v>1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1</v>
      </c>
      <c r="BN50" s="237">
        <f>IF(CdTrp1!T78=1,1,IF(CdTrp1!T78=2,2,IF(CdTrp1!T78=3,2,0)))</f>
        <v>1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2</v>
      </c>
      <c r="AW51" s="237">
        <f>IF(CdTrp1!C79=1,1,IF(CdTrp1!C79=2,2,IF(CdTrp1!C79=3,2,0)))</f>
        <v>2</v>
      </c>
      <c r="AX51" s="237">
        <f>IF(CdTrp1!D79=1,1,IF(CdTrp1!D79=2,2,IF(CdTrp1!D79=3,2,0)))</f>
        <v>2</v>
      </c>
      <c r="AY51" s="237">
        <f>IF(CdTrp1!E79=1,1,IF(CdTrp1!E79=2,2,IF(CdTrp1!E79=3,2,0)))</f>
        <v>2</v>
      </c>
      <c r="AZ51" s="237">
        <f>IF(CdTrp1!F79=1,1,IF(CdTrp1!F79=2,2,IF(CdTrp1!F79=3,2,0)))</f>
        <v>2</v>
      </c>
      <c r="BA51" s="237">
        <f>IF(CdTrp1!G79=1,1,IF(CdTrp1!G79=2,2,IF(CdTrp1!G79=3,2,0)))</f>
        <v>2</v>
      </c>
      <c r="BB51" s="237">
        <f>IF(CdTrp1!H79=1,1,IF(CdTrp1!H79=2,2,IF(CdTrp1!H79=3,2,0)))</f>
        <v>2</v>
      </c>
      <c r="BC51" s="237">
        <f>IF(CdTrp1!I79=1,1,IF(CdTrp1!I79=2,2,IF(CdTrp1!I79=3,2,0)))</f>
        <v>2</v>
      </c>
      <c r="BD51" s="237">
        <f>IF(CdTrp1!J79=1,1,IF(CdTrp1!J79=2,2,IF(CdTrp1!J79=3,2,0)))</f>
        <v>2</v>
      </c>
      <c r="BE51" s="237">
        <f>IF(CdTrp1!K79=1,1,IF(CdTrp1!K79=2,2,IF(CdTrp1!K79=3,2,0)))</f>
        <v>2</v>
      </c>
      <c r="BF51" s="237">
        <f>IF(CdTrp1!L79=1,1,IF(CdTrp1!L79=2,2,IF(CdTrp1!L79=3,2,0)))</f>
        <v>2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2</v>
      </c>
      <c r="BN51" s="237">
        <f>IF(CdTrp1!T79=1,1,IF(CdTrp1!T79=2,2,IF(CdTrp1!T79=3,2,0)))</f>
        <v>2</v>
      </c>
      <c r="BO51" s="237">
        <f>IF(CdTrp1!U79=1,1,IF(CdTrp1!U79=2,2,IF(CdTrp1!U79=3,2,0)))</f>
        <v>2</v>
      </c>
      <c r="BP51" s="237">
        <f>IF(CdTrp1!V79=1,1,IF(CdTrp1!V79=2,2,IF(CdTrp1!V79=3,2,0)))</f>
        <v>2</v>
      </c>
      <c r="BQ51" s="237">
        <f>IF(CdTrp1!W79=1,1,IF(CdTrp1!W79=2,2,IF(CdTrp1!W79=3,2,0)))</f>
        <v>2</v>
      </c>
      <c r="BR51" s="237">
        <f>IF(CdTrp1!X79=1,1,IF(CdTrp1!X79=2,2,IF(CdTrp1!X79=3,2,0)))</f>
        <v>2</v>
      </c>
      <c r="BS51" s="237">
        <f>IF(CdTrp1!Y79=1,1,IF(CdTrp1!Y79=2,2,IF(CdTrp1!Y79=3,2,0)))</f>
        <v>2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35.340000000000003</v>
      </c>
      <c r="C118" s="186">
        <f>IF(Scénario!$K$12="BV",[1]Eco!$B$78,IF(Scénario!$K$12="BL",[1]Eco!$B$77,[1]Eco!$B$76))</f>
        <v>223</v>
      </c>
      <c r="J118" s="169">
        <f>B118*C118</f>
        <v>7880.8200000000006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15.4695</v>
      </c>
      <c r="C119" s="186">
        <f>[1]Eco!$B$79</f>
        <v>80</v>
      </c>
      <c r="J119" s="169">
        <f>B119*C119</f>
        <v>1237.56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9043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566.31999999999994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45401.477999999996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3.5</v>
      </c>
      <c r="X155" t="s">
        <v>52</v>
      </c>
      <c r="Y155" s="169">
        <f>W155-Scénario!K30</f>
        <v>0</v>
      </c>
      <c r="Z155" s="169">
        <f>Y155</f>
        <v>0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144.00000000000003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1530.7200000000005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431.59999999999997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4587.9080000000004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5"/>
        <v>1.7</v>
      </c>
      <c r="V168" s="169">
        <f t="shared" si="86"/>
        <v>1.7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1.7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1.7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0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21258.092000000001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21048.610000000011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21049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2464.3393952707688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10584.270604729243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10584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5848</v>
      </c>
      <c r="U234" t="s">
        <v>927</v>
      </c>
      <c r="V234" s="169"/>
      <c r="W234" s="169">
        <f>[1]Protect!$B$4</f>
        <v>6</v>
      </c>
      <c r="X234" s="169">
        <f>T234*W234</f>
        <v>35088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0.2</v>
      </c>
      <c r="W235" s="169">
        <f>[1]Protect!$B$83</f>
        <v>2000</v>
      </c>
      <c r="X235" s="169">
        <f>T235*W235</f>
        <v>400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35488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19988</v>
      </c>
      <c r="AB237" s="30">
        <f>(Scénario!K127/100)*AA237</f>
        <v>0</v>
      </c>
      <c r="AC237" s="30">
        <f>AA237-AB237</f>
        <v>19988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2464.3393952707688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10</v>
      </c>
      <c r="X245" s="169">
        <f>ROUND((([1]Protect!$B$5/[1]Protect!$B$11)+[1]Protect!$B$8)*T245,0)</f>
        <v>9043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0.60000000000000009</v>
      </c>
      <c r="W246" s="169">
        <f>[1]Eco!$B$106*[1]Eco!$B$108*[1]Eco!$B$109</f>
        <v>2551.2000000000003</v>
      </c>
      <c r="X246" s="169">
        <f>T246*W246</f>
        <v>1530.7200000000005</v>
      </c>
    </row>
    <row r="247" spans="17:31" x14ac:dyDescent="0.25">
      <c r="S247" s="14" t="s">
        <v>921</v>
      </c>
      <c r="T247" s="30">
        <f>Travail!F16/8</f>
        <v>16.8</v>
      </c>
      <c r="W247" s="169">
        <f>[1]Eco!$B$111</f>
        <v>28.3</v>
      </c>
      <c r="X247" s="169">
        <f>T247*W247</f>
        <v>475.44000000000005</v>
      </c>
    </row>
    <row r="248" spans="17:31" x14ac:dyDescent="0.25">
      <c r="W248" s="14" t="s">
        <v>920</v>
      </c>
      <c r="X248" s="169">
        <f>SUM(X245:X247)</f>
        <v>11049.160000000002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11049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1016.6666666666667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1</v>
      </c>
      <c r="U258" s="169">
        <f>IF(T258=0,0,[1]Protect!$B78)</f>
        <v>20000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8839.2000000000007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8839.2000000000007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10000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87.72</v>
      </c>
      <c r="U272" s="169"/>
      <c r="V272" s="169"/>
      <c r="W272" s="169">
        <f>W234</f>
        <v>6</v>
      </c>
      <c r="X272" s="169">
        <f>T272*W272</f>
        <v>526.31999999999994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0.4</v>
      </c>
      <c r="U274" s="169"/>
      <c r="V274" s="169"/>
      <c r="W274" s="169">
        <f>W271</f>
        <v>100</v>
      </c>
      <c r="X274" s="169">
        <f>T274*W274</f>
        <v>40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304" sqref="E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Z1_OL_T3_C1s1</v>
      </c>
      <c r="D1" s="268" t="str">
        <f>CONCATENATE(C1,"_corr")</f>
        <v>Z1_OL_T3_C1s1_corr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5</v>
      </c>
      <c r="D25" s="179">
        <f t="shared" si="0"/>
        <v>5</v>
      </c>
    </row>
    <row r="26" spans="2:5" x14ac:dyDescent="0.25">
      <c r="B26" s="14" t="s">
        <v>567</v>
      </c>
      <c r="C26" s="179" t="str">
        <f>Scénario!K57</f>
        <v>4. présence 1 éleveur</v>
      </c>
      <c r="D26" s="179" t="str">
        <f t="shared" si="0"/>
        <v>4. présence 1 éleveur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1</v>
      </c>
      <c r="D51" s="179">
        <f t="shared" si="1"/>
        <v>1</v>
      </c>
      <c r="E51" s="14"/>
    </row>
    <row r="52" spans="1:132" x14ac:dyDescent="0.25">
      <c r="B52" s="19" t="s">
        <v>528</v>
      </c>
      <c r="C52" s="179">
        <f>Scénario!K84</f>
        <v>2</v>
      </c>
      <c r="D52" s="179">
        <f t="shared" si="1"/>
        <v>2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1</v>
      </c>
      <c r="D54" s="179">
        <f t="shared" si="1"/>
        <v>1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1</v>
      </c>
      <c r="D59" s="179">
        <f t="shared" si="1"/>
        <v>1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3.5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2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3</v>
      </c>
      <c r="I97" s="30">
        <f>CdTrp1!C79</f>
        <v>3</v>
      </c>
      <c r="J97" s="30">
        <f>CdTrp1!D79</f>
        <v>3</v>
      </c>
      <c r="K97" s="30">
        <f>CdTrp1!E79</f>
        <v>3</v>
      </c>
      <c r="L97" s="30">
        <f>CdTrp1!F79</f>
        <v>3</v>
      </c>
      <c r="M97" s="30">
        <f>CdTrp1!G79</f>
        <v>3</v>
      </c>
      <c r="N97" s="30">
        <f>CdTrp1!H79</f>
        <v>3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3</v>
      </c>
      <c r="Z97" s="30">
        <f>CdTrp1!T79</f>
        <v>3</v>
      </c>
      <c r="AA97" s="30">
        <f>CdTrp1!U79</f>
        <v>3</v>
      </c>
      <c r="AB97" s="30">
        <f>CdTrp1!V79</f>
        <v>3</v>
      </c>
      <c r="AC97" s="30">
        <f>CdTrp1!W79</f>
        <v>3</v>
      </c>
      <c r="AD97" s="30">
        <f>CdTrp1!X79</f>
        <v>3</v>
      </c>
      <c r="AE97" s="30">
        <f>CdTrp1!Y79</f>
        <v>3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4</v>
      </c>
      <c r="D98" s="169">
        <f t="shared" ref="D98:D136" si="46">C98</f>
        <v>4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2</v>
      </c>
      <c r="BC100" s="169">
        <f>IF(CdTrp1!I54=1,3,IF(CdTrp1!I54=0.5,2,IF(CdTrp1!I54=0,1,0)))</f>
        <v>2</v>
      </c>
      <c r="BD100" s="169">
        <f>IF(CdTrp1!J54=1,3,IF(CdTrp1!J54=0.5,2,IF(CdTrp1!J54=0,1,0)))</f>
        <v>2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4</v>
      </c>
      <c r="D101" s="169">
        <f t="shared" si="46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2</v>
      </c>
      <c r="AW101" s="169">
        <f>IF(CdTrp1!C55=1,3,IF(CdTrp1!C55=0.5,2,IF(CdTrp1!C55=0,1,0)))</f>
        <v>2</v>
      </c>
      <c r="AX101" s="169">
        <f>IF(CdTrp1!D55=1,3,IF(CdTrp1!D55=0.5,2,IF(CdTrp1!D55=0,1,0)))</f>
        <v>2</v>
      </c>
      <c r="AY101" s="169">
        <f>IF(CdTrp1!E55=1,3,IF(CdTrp1!E55=0.5,2,IF(CdTrp1!E55=0,1,0)))</f>
        <v>2</v>
      </c>
      <c r="AZ101" s="169">
        <f>IF(CdTrp1!F55=1,3,IF(CdTrp1!F55=0.5,2,IF(CdTrp1!F55=0,1,0)))</f>
        <v>2</v>
      </c>
      <c r="BA101" s="169">
        <f>IF(CdTrp1!G55=1,3,IF(CdTrp1!G55=0.5,2,IF(CdTrp1!G55=0,1,0)))</f>
        <v>2</v>
      </c>
      <c r="BB101" s="169">
        <f>IF(CdTrp1!H55=1,3,IF(CdTrp1!H55=0.5,2,IF(CdTrp1!H55=0,1,0)))</f>
        <v>2</v>
      </c>
      <c r="BC101" s="169">
        <f>IF(CdTrp1!I55=1,3,IF(CdTrp1!I55=0.5,2,IF(CdTrp1!I55=0,1,0)))</f>
        <v>2</v>
      </c>
      <c r="BD101" s="169">
        <f>IF(CdTrp1!J55=1,3,IF(CdTrp1!J55=0.5,2,IF(CdTrp1!J55=0,1,0)))</f>
        <v>2</v>
      </c>
      <c r="BE101" s="169">
        <f>IF(CdTrp1!K55=1,3,IF(CdTrp1!K55=0.5,2,IF(CdTrp1!K55=0,1,0)))</f>
        <v>2</v>
      </c>
      <c r="BF101" s="169">
        <f>IF(CdTrp1!L55=1,3,IF(CdTrp1!L55=0.5,2,IF(CdTrp1!L55=0,1,0)))</f>
        <v>2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2</v>
      </c>
      <c r="BN101" s="169">
        <f>IF(CdTrp1!T55=1,3,IF(CdTrp1!T55=0.5,2,IF(CdTrp1!T55=0,1,0)))</f>
        <v>2</v>
      </c>
      <c r="BO101" s="169">
        <f>IF(CdTrp1!U55=1,3,IF(CdTrp1!U55=0.5,2,IF(CdTrp1!U55=0,1,0)))</f>
        <v>2</v>
      </c>
      <c r="BP101" s="169">
        <f>IF(CdTrp1!V55=1,3,IF(CdTrp1!V55=0.5,2,IF(CdTrp1!V55=0,1,0)))</f>
        <v>2</v>
      </c>
      <c r="BQ101" s="169">
        <f>IF(CdTrp1!W55=1,3,IF(CdTrp1!W55=0.5,2,IF(CdTrp1!W55=0,1,0)))</f>
        <v>2</v>
      </c>
      <c r="BR101" s="169">
        <f>IF(CdTrp1!X55=1,3,IF(CdTrp1!X55=0.5,2,IF(CdTrp1!X55=0,1,0)))</f>
        <v>2</v>
      </c>
      <c r="BS101" s="169">
        <f>IF(CdTrp1!Y55=1,3,IF(CdTrp1!Y55=0.5,2,IF(CdTrp1!Y55=0,1,0)))</f>
        <v>2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2</v>
      </c>
      <c r="BH102" s="169">
        <f>IF(CdTrp1!N56=1,3,IF(CdTrp1!N56=0.5,2,IF(CdTrp1!N56=0,1,0)))</f>
        <v>2</v>
      </c>
      <c r="BI102" s="169">
        <f>IF(CdTrp1!O56=1,3,IF(CdTrp1!O56=0.5,2,IF(CdTrp1!O56=0,1,0)))</f>
        <v>2</v>
      </c>
      <c r="BJ102" s="169">
        <f>IF(CdTrp1!P56=1,3,IF(CdTrp1!P56=0.5,2,IF(CdTrp1!P56=0,1,0)))</f>
        <v>2</v>
      </c>
      <c r="BK102" s="169">
        <f>IF(CdTrp1!Q56=1,3,IF(CdTrp1!Q56=0.5,2,IF(CdTrp1!Q56=0,1,0)))</f>
        <v>2</v>
      </c>
      <c r="BL102" s="169">
        <f>IF(CdTrp1!R56=1,3,IF(CdTrp1!R56=0.5,2,IF(CdTrp1!R56=0,1,0)))</f>
        <v>2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35.5</v>
      </c>
      <c r="D106" s="169">
        <f t="shared" si="46"/>
        <v>35.5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35.5</v>
      </c>
      <c r="D109" s="169">
        <f t="shared" si="46"/>
        <v>35.5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12</v>
      </c>
      <c r="D110" s="169">
        <f t="shared" si="46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2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1</v>
      </c>
      <c r="BC111" s="169">
        <f>IF(CdTrp1!I78=1,1,IF(CdTrp1!I78=2,2,IF(CdTrp1!I78=3,2,IF(CdTrp1!I78=4,4,0))))</f>
        <v>1</v>
      </c>
      <c r="BD111" s="169">
        <f>IF(CdTrp1!J78=1,1,IF(CdTrp1!J78=2,2,IF(CdTrp1!J78=3,2,IF(CdTrp1!J78=4,4,0))))</f>
        <v>1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2</v>
      </c>
      <c r="AW112" s="169">
        <f>IF(CdTrp1!C79=1,1,IF(CdTrp1!C79=2,2,IF(CdTrp1!C79=3,2,IF(CdTrp1!C79=4,4,0))))</f>
        <v>2</v>
      </c>
      <c r="AX112" s="169">
        <f>IF(CdTrp1!D79=1,1,IF(CdTrp1!D79=2,2,IF(CdTrp1!D79=3,2,IF(CdTrp1!D79=4,4,0))))</f>
        <v>2</v>
      </c>
      <c r="AY112" s="169">
        <f>IF(CdTrp1!E79=1,1,IF(CdTrp1!E79=2,2,IF(CdTrp1!E79=3,2,IF(CdTrp1!E79=4,4,0))))</f>
        <v>2</v>
      </c>
      <c r="AZ112" s="169">
        <f>IF(CdTrp1!F79=1,1,IF(CdTrp1!F79=2,2,IF(CdTrp1!F79=3,2,IF(CdTrp1!F79=4,4,0))))</f>
        <v>2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2</v>
      </c>
      <c r="BP112" s="169">
        <f>IF(CdTrp1!V79=1,1,IF(CdTrp1!V79=2,2,IF(CdTrp1!V79=3,2,IF(CdTrp1!V79=4,4,0))))</f>
        <v>2</v>
      </c>
      <c r="BQ112" s="169">
        <f>IF(CdTrp1!W79=1,1,IF(CdTrp1!W79=2,2,IF(CdTrp1!W79=3,2,IF(CdTrp1!W79=4,4,0))))</f>
        <v>2</v>
      </c>
      <c r="BR112" s="169">
        <f>IF(CdTrp1!X79=1,1,IF(CdTrp1!X79=2,2,IF(CdTrp1!X79=3,2,IF(CdTrp1!X79=4,4,0))))</f>
        <v>2</v>
      </c>
      <c r="BS112" s="169">
        <f>IF(CdTrp1!Y79=1,1,IF(CdTrp1!Y79=2,2,IF(CdTrp1!Y79=3,2,IF(CdTrp1!Y79=4,4,0))))</f>
        <v>2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4.5</v>
      </c>
      <c r="D113" s="169">
        <f t="shared" si="46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13</v>
      </c>
      <c r="D116" s="169">
        <f t="shared" si="46"/>
        <v>13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2</v>
      </c>
      <c r="I129">
        <f t="shared" si="56"/>
        <v>2</v>
      </c>
      <c r="J129">
        <f t="shared" si="56"/>
        <v>2</v>
      </c>
      <c r="K129">
        <f t="shared" si="56"/>
        <v>3</v>
      </c>
      <c r="L129">
        <f t="shared" si="56"/>
        <v>3</v>
      </c>
      <c r="M129">
        <f t="shared" si="56"/>
        <v>3</v>
      </c>
      <c r="N129">
        <f t="shared" si="56"/>
        <v>4</v>
      </c>
      <c r="O129">
        <f t="shared" si="56"/>
        <v>4</v>
      </c>
      <c r="P129">
        <f t="shared" si="56"/>
        <v>4</v>
      </c>
      <c r="Q129">
        <f t="shared" si="56"/>
        <v>4</v>
      </c>
      <c r="R129">
        <f t="shared" si="56"/>
        <v>4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4</v>
      </c>
      <c r="Z129">
        <f t="shared" si="56"/>
        <v>4</v>
      </c>
      <c r="AA129">
        <f t="shared" si="56"/>
        <v>2</v>
      </c>
      <c r="AB129">
        <f t="shared" si="56"/>
        <v>2</v>
      </c>
      <c r="AC129">
        <f t="shared" si="56"/>
        <v>2</v>
      </c>
      <c r="AD129">
        <f t="shared" si="56"/>
        <v>2</v>
      </c>
      <c r="AE129">
        <f t="shared" si="56"/>
        <v>2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2</v>
      </c>
      <c r="I132">
        <f t="shared" si="59"/>
        <v>2</v>
      </c>
      <c r="J132">
        <f t="shared" si="59"/>
        <v>2</v>
      </c>
      <c r="K132">
        <f t="shared" si="59"/>
        <v>3</v>
      </c>
      <c r="L132">
        <f t="shared" si="59"/>
        <v>3</v>
      </c>
      <c r="M132">
        <f t="shared" si="59"/>
        <v>3</v>
      </c>
      <c r="N132">
        <f t="shared" si="59"/>
        <v>4</v>
      </c>
      <c r="O132">
        <f t="shared" si="59"/>
        <v>4</v>
      </c>
      <c r="P132">
        <f t="shared" si="59"/>
        <v>4</v>
      </c>
      <c r="Q132">
        <f t="shared" si="59"/>
        <v>4</v>
      </c>
      <c r="R132">
        <f t="shared" si="59"/>
        <v>4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4</v>
      </c>
      <c r="Z132">
        <f t="shared" si="59"/>
        <v>4</v>
      </c>
      <c r="AA132">
        <f t="shared" si="59"/>
        <v>2</v>
      </c>
      <c r="AB132">
        <f t="shared" si="59"/>
        <v>2</v>
      </c>
      <c r="AC132">
        <f t="shared" si="59"/>
        <v>2</v>
      </c>
      <c r="AD132">
        <f t="shared" si="59"/>
        <v>2</v>
      </c>
      <c r="AE132">
        <f t="shared" si="59"/>
        <v>2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0.40677966101694918</v>
      </c>
      <c r="D133" s="262">
        <f t="shared" si="46"/>
        <v>0.40677966101694918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0.40677966101694918</v>
      </c>
      <c r="D136" s="262">
        <f t="shared" si="46"/>
        <v>0.40677966101694918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83.984338756125098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94.499677751337501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62.82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55.351925405125002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59.16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94.5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7.4680745948749987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88.1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-35.340000000000003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35.340000000000003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76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5848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22.200000000000003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263</v>
      </c>
      <c r="D185" s="169">
        <f t="shared" ref="D185:D191" si="165">C185</f>
        <v>263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0.2</v>
      </c>
      <c r="D187" s="169">
        <f t="shared" si="165"/>
        <v>0.2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10</v>
      </c>
      <c r="D189" s="169">
        <f t="shared" si="165"/>
        <v>10</v>
      </c>
      <c r="AH189" s="15"/>
      <c r="AJ189" s="14" t="s">
        <v>923</v>
      </c>
      <c r="AK189" s="30">
        <f>D189</f>
        <v>10</v>
      </c>
      <c r="AO189" s="169">
        <f>ROUND((([1]Protect!$B$5/[1]Protect!$B$11)+[1]Protect!$B$8)*AK189,0)</f>
        <v>9043</v>
      </c>
    </row>
    <row r="190" spans="1:132" x14ac:dyDescent="0.25">
      <c r="B190" s="14" t="s">
        <v>1245</v>
      </c>
      <c r="C190" s="169">
        <f>'Calcul éco'!T246*(30)</f>
        <v>18.000000000000004</v>
      </c>
      <c r="D190" s="169">
        <f t="shared" si="165"/>
        <v>18.000000000000004</v>
      </c>
      <c r="AH190" s="15"/>
      <c r="AJ190" s="14" t="s">
        <v>922</v>
      </c>
      <c r="AK190" s="30">
        <f>D190/30</f>
        <v>0.60000000000000009</v>
      </c>
      <c r="AN190" s="169">
        <f>[1]Eco!$B$106*[1]Eco!$B$108*[1]Eco!$B$109</f>
        <v>2551.2000000000003</v>
      </c>
      <c r="AO190" s="169">
        <f>AK190*AN190</f>
        <v>1530.7200000000005</v>
      </c>
    </row>
    <row r="191" spans="1:132" x14ac:dyDescent="0.25">
      <c r="B191" s="14" t="s">
        <v>1244</v>
      </c>
      <c r="C191" s="193">
        <f>ROUND(SUM(Travail!F69:F74)/8,1)</f>
        <v>36.9</v>
      </c>
      <c r="D191" s="169">
        <f t="shared" si="165"/>
        <v>36.9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16.8</v>
      </c>
      <c r="AN191" s="169">
        <f>[1]Eco!$B$111</f>
        <v>28.3</v>
      </c>
      <c r="AO191" s="169">
        <f>AK191*AN191</f>
        <v>475.44000000000005</v>
      </c>
    </row>
    <row r="192" spans="1:132" x14ac:dyDescent="0.25">
      <c r="B192" s="14" t="s">
        <v>1240</v>
      </c>
      <c r="C192" s="169">
        <f>(Travail!F83+Travail!F84)/8</f>
        <v>0.82499999999999996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11049.160000000002</v>
      </c>
    </row>
    <row r="193" spans="1:43" x14ac:dyDescent="0.25">
      <c r="B193" s="14" t="s">
        <v>1238</v>
      </c>
      <c r="C193" s="169">
        <f>(Travail!F75+Travail!F76+Travail!F81)/8</f>
        <v>18.875</v>
      </c>
      <c r="D193" s="169">
        <f>C193</f>
        <v>18.875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5000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7500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5000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8839</v>
      </c>
      <c r="D210" s="252">
        <f>ROUND(AL207,0)</f>
        <v>5000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43312.4</v>
      </c>
      <c r="D211" s="252">
        <f>ROUND(SUM(D201:D210),0)</f>
        <v>5000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9118.380000000001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0.4</v>
      </c>
      <c r="AK218" s="169"/>
      <c r="AL218" s="169"/>
      <c r="AM218" s="169">
        <f>'Calcul éco'!W274</f>
        <v>100</v>
      </c>
      <c r="AN218" s="169">
        <f>AJ218*AM218</f>
        <v>40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9043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566.31999999999994</v>
      </c>
      <c r="D220" s="252">
        <f>SUM(AN215:AN219)</f>
        <v>40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45402</v>
      </c>
      <c r="D221" s="252">
        <f>ROUND(SUM(D216:D220),0)</f>
        <v>40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0.2</v>
      </c>
      <c r="AN226" s="169">
        <f>[1]Protect!$B$83</f>
        <v>2000</v>
      </c>
      <c r="AO226" s="169">
        <f>AK226*AN226</f>
        <v>400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400</v>
      </c>
      <c r="AQ228" s="30">
        <f>IF(Scénario!K84=1,MIN(0.8*AO228,[1]Protect!$B$68),IF(Scénario!K84=2,MIN(0.8*AO228,[1]Protect!$B$67),0))</f>
        <v>320</v>
      </c>
      <c r="AR228" s="30">
        <f>AO228-AQ228</f>
        <v>80</v>
      </c>
      <c r="AS228" s="30">
        <f>(1-Scénario!K127/100)*AR228</f>
        <v>80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1530.7200000000005</v>
      </c>
      <c r="D234" s="169">
        <f>C234</f>
        <v>1530.7200000000005</v>
      </c>
    </row>
    <row r="235" spans="1:49" x14ac:dyDescent="0.25">
      <c r="B235" s="14" t="s">
        <v>1195</v>
      </c>
      <c r="C235" s="169">
        <f>'Calcul éco'!J167</f>
        <v>4587.9080000000004</v>
      </c>
      <c r="D235" s="252">
        <f>(D191+D192)*8*[1]Eco!$B$106</f>
        <v>3137.9760000000001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21258</v>
      </c>
      <c r="D236" s="252">
        <f>ROUND(SUM(D222:D235),0)</f>
        <v>8769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21048.399999999994</v>
      </c>
      <c r="D237" s="252">
        <f>D194+D211-D221-D236</f>
        <v>-3809</v>
      </c>
    </row>
    <row r="238" spans="1:49" x14ac:dyDescent="0.25">
      <c r="B238" s="245" t="s">
        <v>947</v>
      </c>
      <c r="C238" s="169">
        <f>ROUND(C237/Scénario!$K$4,0)</f>
        <v>21048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2464.3393952707688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10584</v>
      </c>
      <c r="D241" s="256">
        <f>ROUND(D237-D239-D240,0)</f>
        <v>-11809</v>
      </c>
    </row>
    <row r="242" spans="1:15" x14ac:dyDescent="0.25">
      <c r="B242" s="245" t="s">
        <v>943</v>
      </c>
      <c r="C242" s="169">
        <f>ROUND(C241/Scénario!K4,0)</f>
        <v>10584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35488</v>
      </c>
      <c r="D243" s="169">
        <f>C243</f>
        <v>35488</v>
      </c>
    </row>
    <row r="244" spans="1:15" x14ac:dyDescent="0.25">
      <c r="B244" s="245" t="s">
        <v>1189</v>
      </c>
      <c r="C244" s="169">
        <f>'Calcul éco'!AA237+'Calcul éco'!AA240</f>
        <v>19988</v>
      </c>
      <c r="D244" s="169">
        <f>C244</f>
        <v>19988</v>
      </c>
    </row>
    <row r="245" spans="1:15" x14ac:dyDescent="0.25">
      <c r="A245" s="2" t="s">
        <v>1188</v>
      </c>
      <c r="B245" s="14" t="s">
        <v>545</v>
      </c>
      <c r="C245" s="253">
        <f>Travail!F5</f>
        <v>1071</v>
      </c>
      <c r="D245" s="169">
        <f>C245</f>
        <v>1071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898.16431250000005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134.4</v>
      </c>
      <c r="D251" s="169">
        <f>C251</f>
        <v>134.4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25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295.2</v>
      </c>
      <c r="D275" s="169">
        <f>C275</f>
        <v>295.2</v>
      </c>
    </row>
    <row r="276" spans="1:4" x14ac:dyDescent="0.25">
      <c r="A276" s="23"/>
      <c r="B276" s="32" t="s">
        <v>1178</v>
      </c>
      <c r="C276" s="253">
        <f>C192*8</f>
        <v>6.6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130</v>
      </c>
      <c r="D277" s="169">
        <f>C277</f>
        <v>130</v>
      </c>
    </row>
    <row r="278" spans="1:4" x14ac:dyDescent="0.25">
      <c r="B278" s="32" t="s">
        <v>1176</v>
      </c>
      <c r="C278" s="253">
        <f>Travail!F76</f>
        <v>21</v>
      </c>
      <c r="D278" s="169">
        <f>C278</f>
        <v>21</v>
      </c>
    </row>
    <row r="279" spans="1:4" x14ac:dyDescent="0.25">
      <c r="B279" s="32" t="s">
        <v>1175</v>
      </c>
      <c r="C279" s="253">
        <f>Travail!F86</f>
        <v>144.00000000000003</v>
      </c>
      <c r="D279" s="253">
        <f>C279</f>
        <v>144.00000000000003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3170</v>
      </c>
      <c r="D281" s="252">
        <f>ROUND(D245+D248+D251+D254+D257+D260+D261,0)</f>
        <v>1425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11.83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3170</v>
      </c>
      <c r="D287" s="252">
        <f>SUM(D281:D283)</f>
        <v>1425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221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431.8</v>
      </c>
      <c r="D290" s="254">
        <f>D275+D276+D277</f>
        <v>425.2</v>
      </c>
    </row>
    <row r="291" spans="2:4" x14ac:dyDescent="0.25">
      <c r="B291" s="14" t="s">
        <v>1162</v>
      </c>
      <c r="C291" s="253">
        <f>C278+C279+C280</f>
        <v>165.00000000000003</v>
      </c>
      <c r="D291" s="253">
        <f>D278+D279+D280</f>
        <v>165.00000000000003</v>
      </c>
    </row>
    <row r="292" spans="2:4" x14ac:dyDescent="0.25">
      <c r="B292" s="14" t="s">
        <v>761</v>
      </c>
      <c r="C292" s="169">
        <f>ROUND(SUM(C287:C291),0)</f>
        <v>4428</v>
      </c>
      <c r="D292" s="252">
        <f>ROUND(SUM(D287:D291),0)</f>
        <v>2455</v>
      </c>
    </row>
    <row r="293" spans="2:4" x14ac:dyDescent="0.25">
      <c r="B293" s="14" t="s">
        <v>760</v>
      </c>
      <c r="C293" s="169">
        <f>ROUND(IF(Scénario!$K$129=1,SUM(C275:C280),SUM(C278:C280)),0)</f>
        <v>597</v>
      </c>
      <c r="D293" s="169">
        <f>ROUND(IF(Scénario!$K$129=1,SUM(D275:D280),SUM(D278:D280)),0)</f>
        <v>590</v>
      </c>
    </row>
    <row r="294" spans="2:4" x14ac:dyDescent="0.25">
      <c r="B294" s="14" t="s">
        <v>759</v>
      </c>
      <c r="C294" s="169">
        <f>ROUND((C292-C293)/C83,0)</f>
        <v>3831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55.351925405125023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35088</v>
      </c>
    </row>
    <row r="308" spans="2:3" x14ac:dyDescent="0.25">
      <c r="B308" s="14" t="s">
        <v>1445</v>
      </c>
      <c r="C308" s="169">
        <f>'Calcul éco'!X235</f>
        <v>400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M56" sqref="M56:R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0.5</v>
      </c>
      <c r="T54" s="60">
        <v>0.5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0.5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60">
        <v>0.5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0.5</v>
      </c>
      <c r="N56" s="60">
        <v>0.5</v>
      </c>
      <c r="O56" s="60">
        <v>0.5</v>
      </c>
      <c r="P56" s="60">
        <v>0.5</v>
      </c>
      <c r="Q56" s="60">
        <v>0.5</v>
      </c>
      <c r="R56" s="60">
        <v>0.5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30.4695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189.63721875000002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177.10612500000002</v>
      </c>
      <c r="T63" s="61">
        <f t="shared" si="17"/>
        <v>183.00966250000002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68.196996874999996</v>
      </c>
      <c r="C64" s="61">
        <f t="shared" si="18"/>
        <v>68.196996874999996</v>
      </c>
      <c r="D64" s="61">
        <f t="shared" si="18"/>
        <v>61.5972875</v>
      </c>
      <c r="E64" s="61">
        <f t="shared" si="18"/>
        <v>61.5972875</v>
      </c>
      <c r="F64" s="61">
        <f t="shared" si="18"/>
        <v>68.196996874999996</v>
      </c>
      <c r="G64" s="61">
        <f t="shared" si="18"/>
        <v>68.196996874999996</v>
      </c>
      <c r="H64" s="61">
        <f t="shared" si="18"/>
        <v>65.997093750000005</v>
      </c>
      <c r="I64" s="61">
        <f t="shared" si="18"/>
        <v>65.997093750000005</v>
      </c>
      <c r="J64" s="61">
        <f t="shared" si="18"/>
        <v>68.196996874999996</v>
      </c>
      <c r="K64" s="61">
        <f t="shared" si="18"/>
        <v>68.196996874999996</v>
      </c>
      <c r="L64" s="61">
        <f t="shared" si="18"/>
        <v>65.997093750000005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53.466000000000008</v>
      </c>
      <c r="T64" s="61">
        <f t="shared" si="18"/>
        <v>55.248200000000004</v>
      </c>
      <c r="U64" s="61">
        <f t="shared" si="18"/>
        <v>55.248200000000004</v>
      </c>
      <c r="V64" s="61">
        <f t="shared" si="18"/>
        <v>65.997093750000005</v>
      </c>
      <c r="W64" s="61">
        <f t="shared" si="18"/>
        <v>65.997093750000005</v>
      </c>
      <c r="X64" s="61">
        <f t="shared" si="18"/>
        <v>68.196996874999996</v>
      </c>
      <c r="Y64" s="61">
        <f t="shared" si="18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10.854000000000001</v>
      </c>
      <c r="I65" s="61">
        <f t="shared" si="19"/>
        <v>10.854000000000001</v>
      </c>
      <c r="J65" s="61">
        <f t="shared" si="19"/>
        <v>11.2158</v>
      </c>
      <c r="K65" s="61">
        <f t="shared" si="19"/>
        <v>11.2158</v>
      </c>
      <c r="L65" s="61">
        <f t="shared" si="19"/>
        <v>10.854000000000001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10.854000000000001</v>
      </c>
      <c r="T65" s="61">
        <f t="shared" si="19"/>
        <v>11.2158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5.4521250000000006</v>
      </c>
      <c r="C66" s="61">
        <f t="shared" si="20"/>
        <v>5.4521250000000006</v>
      </c>
      <c r="D66" s="61">
        <f t="shared" si="20"/>
        <v>4.924500000000001</v>
      </c>
      <c r="E66" s="61">
        <f t="shared" si="20"/>
        <v>4.924500000000001</v>
      </c>
      <c r="F66" s="61">
        <f t="shared" si="20"/>
        <v>5.4521250000000006</v>
      </c>
      <c r="G66" s="61">
        <f t="shared" si="20"/>
        <v>5.4521250000000006</v>
      </c>
      <c r="H66" s="61">
        <f t="shared" si="20"/>
        <v>5.276250000000001</v>
      </c>
      <c r="I66" s="61">
        <f t="shared" si="20"/>
        <v>5.276250000000001</v>
      </c>
      <c r="J66" s="61">
        <f t="shared" si="20"/>
        <v>5.4521250000000006</v>
      </c>
      <c r="K66" s="61">
        <f t="shared" si="20"/>
        <v>5.4521250000000006</v>
      </c>
      <c r="L66" s="61">
        <f t="shared" si="20"/>
        <v>5.276250000000001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0.87937500000000013</v>
      </c>
      <c r="T66" s="61">
        <f t="shared" si="20"/>
        <v>0.9086875000000002</v>
      </c>
      <c r="U66" s="61">
        <f t="shared" si="20"/>
        <v>5.4521250000000006</v>
      </c>
      <c r="V66" s="61">
        <f t="shared" si="20"/>
        <v>5.276250000000001</v>
      </c>
      <c r="W66" s="61">
        <f t="shared" si="20"/>
        <v>5.276250000000001</v>
      </c>
      <c r="X66" s="61">
        <f t="shared" si="20"/>
        <v>5.4521250000000006</v>
      </c>
      <c r="Y66" s="61">
        <f t="shared" si="20"/>
        <v>5.4521250000000006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12.5625</v>
      </c>
      <c r="N67" s="61">
        <f t="shared" si="21"/>
        <v>12.981250000000001</v>
      </c>
      <c r="O67" s="61">
        <f t="shared" si="21"/>
        <v>12.981250000000001</v>
      </c>
      <c r="P67" s="61">
        <f t="shared" si="21"/>
        <v>12.981250000000001</v>
      </c>
      <c r="Q67" s="61">
        <f t="shared" si="21"/>
        <v>12.981250000000001</v>
      </c>
      <c r="R67" s="61">
        <f t="shared" si="21"/>
        <v>12.5625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512</v>
      </c>
      <c r="C73" s="64">
        <f t="shared" ref="C73:Y73" si="27">ROUND(SUM(C63:C72),0)</f>
        <v>509</v>
      </c>
      <c r="D73" s="64">
        <f t="shared" si="27"/>
        <v>456</v>
      </c>
      <c r="E73" s="64">
        <f t="shared" si="27"/>
        <v>270</v>
      </c>
      <c r="F73" s="64">
        <f t="shared" si="27"/>
        <v>297</v>
      </c>
      <c r="G73" s="64">
        <f t="shared" si="27"/>
        <v>296</v>
      </c>
      <c r="H73" s="64">
        <f t="shared" si="27"/>
        <v>275</v>
      </c>
      <c r="I73" s="64">
        <f t="shared" si="27"/>
        <v>274</v>
      </c>
      <c r="J73" s="64">
        <f t="shared" si="27"/>
        <v>283</v>
      </c>
      <c r="K73" s="64">
        <f t="shared" si="27"/>
        <v>282</v>
      </c>
      <c r="L73" s="64">
        <f t="shared" si="27"/>
        <v>272</v>
      </c>
      <c r="M73" s="64">
        <f t="shared" si="27"/>
        <v>13</v>
      </c>
      <c r="N73" s="64">
        <f t="shared" si="27"/>
        <v>13</v>
      </c>
      <c r="O73" s="64">
        <f t="shared" si="27"/>
        <v>13</v>
      </c>
      <c r="P73" s="64">
        <f t="shared" si="27"/>
        <v>13</v>
      </c>
      <c r="Q73" s="64">
        <f t="shared" si="27"/>
        <v>13</v>
      </c>
      <c r="R73" s="64">
        <f t="shared" si="27"/>
        <v>13</v>
      </c>
      <c r="S73" s="64">
        <f t="shared" si="27"/>
        <v>242</v>
      </c>
      <c r="T73" s="64">
        <f t="shared" si="27"/>
        <v>250</v>
      </c>
      <c r="U73" s="64">
        <f t="shared" si="27"/>
        <v>503</v>
      </c>
      <c r="V73" s="64">
        <f t="shared" si="27"/>
        <v>474</v>
      </c>
      <c r="W73" s="64">
        <f t="shared" si="27"/>
        <v>474</v>
      </c>
      <c r="X73" s="64">
        <f t="shared" si="27"/>
        <v>512</v>
      </c>
      <c r="Y73" s="64">
        <f t="shared" si="27"/>
        <v>512</v>
      </c>
      <c r="Z73" s="52"/>
      <c r="AA73" s="56">
        <f>ROUND(SUM(B73:Y73),0)</f>
        <v>6771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2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35.5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Béliers</v>
      </c>
      <c r="B79" s="60">
        <v>3</v>
      </c>
      <c r="C79" s="60">
        <v>3</v>
      </c>
      <c r="D79" s="60">
        <v>3</v>
      </c>
      <c r="E79" s="60">
        <v>3</v>
      </c>
      <c r="F79" s="60">
        <v>3</v>
      </c>
      <c r="G79" s="60">
        <v>3</v>
      </c>
      <c r="H79" s="60">
        <v>3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>
        <v>3</v>
      </c>
      <c r="T79" s="60">
        <v>3</v>
      </c>
      <c r="U79" s="60">
        <v>3</v>
      </c>
      <c r="V79" s="60">
        <v>3</v>
      </c>
      <c r="W79" s="60">
        <v>3</v>
      </c>
      <c r="X79" s="60">
        <v>3</v>
      </c>
      <c r="Y79" s="60">
        <v>3</v>
      </c>
      <c r="AB79" s="142">
        <v>2</v>
      </c>
      <c r="AC79">
        <f t="shared" ref="AC79:AC81" si="28">COUNTIF($B$76:$Y$85,AB79)/2</f>
        <v>4.5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13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0.5</v>
      </c>
      <c r="I125" s="60">
        <v>0.5</v>
      </c>
      <c r="J125" s="60">
        <v>0.5</v>
      </c>
      <c r="K125" s="60">
        <v>0.5</v>
      </c>
      <c r="L125" s="60">
        <v>0.5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0.5</v>
      </c>
      <c r="T125" s="60">
        <v>0.5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1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0.14110200000000001</v>
      </c>
      <c r="I138" s="61">
        <f t="shared" si="51"/>
        <v>0.14110200000000001</v>
      </c>
      <c r="J138" s="61">
        <f t="shared" si="51"/>
        <v>0.1458054</v>
      </c>
      <c r="K138" s="61">
        <f t="shared" si="51"/>
        <v>0.1458054</v>
      </c>
      <c r="L138" s="61">
        <f t="shared" si="51"/>
        <v>0.14110200000000001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0.14110200000000001</v>
      </c>
      <c r="T138" s="61">
        <f t="shared" si="51"/>
        <v>0.1458054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3.2782697999999999</v>
      </c>
    </row>
    <row r="139" spans="1:31" x14ac:dyDescent="0.25">
      <c r="A139" s="127" t="str">
        <f>A$18</f>
        <v>Béliers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82.173632827250003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94.499677751337501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0.14110200000000001</v>
      </c>
      <c r="I151" s="61">
        <f t="shared" si="56"/>
        <v>0.14110200000000001</v>
      </c>
      <c r="J151" s="61">
        <f t="shared" si="56"/>
        <v>0.1458054</v>
      </c>
      <c r="K151" s="61">
        <f t="shared" si="56"/>
        <v>0.1458054</v>
      </c>
      <c r="L151" s="61">
        <f t="shared" si="56"/>
        <v>0.14110200000000001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0.14110200000000001</v>
      </c>
      <c r="T151" s="61">
        <f t="shared" si="56"/>
        <v>0.1458054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0.14175525000000003</v>
      </c>
      <c r="C152" s="61">
        <f t="shared" si="57"/>
        <v>0.14175525000000003</v>
      </c>
      <c r="D152" s="61">
        <f t="shared" si="57"/>
        <v>0.12803700000000004</v>
      </c>
      <c r="E152" s="61">
        <f t="shared" si="57"/>
        <v>0.12803700000000004</v>
      </c>
      <c r="F152" s="61">
        <f t="shared" si="57"/>
        <v>0.14175525000000003</v>
      </c>
      <c r="G152" s="61">
        <f t="shared" si="57"/>
        <v>0.14175525000000003</v>
      </c>
      <c r="H152" s="61">
        <f t="shared" si="57"/>
        <v>0.13718250000000004</v>
      </c>
      <c r="I152" s="61">
        <f t="shared" si="57"/>
        <v>0.13718250000000004</v>
      </c>
      <c r="J152" s="61">
        <f t="shared" si="57"/>
        <v>0.14175525000000003</v>
      </c>
      <c r="K152" s="61">
        <f t="shared" si="57"/>
        <v>0.14175525000000003</v>
      </c>
      <c r="L152" s="61">
        <f t="shared" si="57"/>
        <v>0.13718250000000004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2.2863750000000002E-2</v>
      </c>
      <c r="T152" s="61">
        <f t="shared" si="57"/>
        <v>2.3625875000000005E-2</v>
      </c>
      <c r="U152" s="61">
        <f t="shared" si="57"/>
        <v>0.14175525000000003</v>
      </c>
      <c r="V152" s="61">
        <f t="shared" si="57"/>
        <v>0.13718250000000004</v>
      </c>
      <c r="W152" s="61">
        <f t="shared" si="57"/>
        <v>0.13718250000000004</v>
      </c>
      <c r="X152" s="61">
        <f t="shared" si="57"/>
        <v>0.14175525000000003</v>
      </c>
      <c r="Y152" s="61">
        <f t="shared" si="57"/>
        <v>0.14175525000000003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83.984338756125098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0.14110200000000001</v>
      </c>
      <c r="I164" s="61">
        <f t="shared" si="66"/>
        <v>0.14110200000000001</v>
      </c>
      <c r="J164" s="61">
        <f t="shared" si="66"/>
        <v>0.1458054</v>
      </c>
      <c r="K164" s="61">
        <f t="shared" si="66"/>
        <v>0.1458054</v>
      </c>
      <c r="L164" s="61">
        <f t="shared" si="66"/>
        <v>0.14110200000000001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0.14110200000000001</v>
      </c>
      <c r="T164" s="61">
        <f t="shared" si="66"/>
        <v>0.1458054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3.2654294803125006</v>
      </c>
      <c r="I172" s="61">
        <f t="shared" si="74"/>
        <v>2.0759864156250001</v>
      </c>
      <c r="J172" s="61">
        <f t="shared" si="74"/>
        <v>2.1364930038437504</v>
      </c>
      <c r="K172" s="61">
        <f t="shared" si="74"/>
        <v>2.1278000448749999</v>
      </c>
      <c r="L172" s="61">
        <f t="shared" si="74"/>
        <v>2.0507487928125001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1.9245606787500003</v>
      </c>
      <c r="T172" s="61">
        <f t="shared" si="74"/>
        <v>1.5934118303750002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25.733407092624997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1.7731219187499998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1.7731219187499998</v>
      </c>
      <c r="C185" s="61">
        <f>SUM(CdTrp1!C175:C184)</f>
        <v>1.7731219187499998</v>
      </c>
      <c r="D185" s="61">
        <f>SUM(CdTrp1!D175:D184)</f>
        <v>0</v>
      </c>
      <c r="E185" s="61">
        <f>SUM(CdTrp1!E175:E184)</f>
        <v>0</v>
      </c>
      <c r="F185" s="61">
        <f>SUM(CdTrp1!F175:F184)</f>
        <v>1.7731219187499998</v>
      </c>
      <c r="G185" s="61">
        <f>SUM(CdTrp1!G175:G184)</f>
        <v>1.7731219187499998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14.3972053875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0.14175525000000003</v>
      </c>
      <c r="C191" s="61">
        <f t="shared" si="88"/>
        <v>0.14175525000000003</v>
      </c>
      <c r="D191" s="61">
        <f t="shared" si="88"/>
        <v>0.12803700000000004</v>
      </c>
      <c r="E191" s="61">
        <f t="shared" si="88"/>
        <v>0.12803700000000004</v>
      </c>
      <c r="F191" s="61">
        <f t="shared" si="88"/>
        <v>0.14175525000000003</v>
      </c>
      <c r="G191" s="61">
        <f t="shared" si="88"/>
        <v>0.14175525000000003</v>
      </c>
      <c r="H191" s="61">
        <f t="shared" si="88"/>
        <v>0.13718250000000004</v>
      </c>
      <c r="I191" s="61">
        <f t="shared" si="88"/>
        <v>0.13718250000000004</v>
      </c>
      <c r="J191" s="61">
        <f t="shared" si="88"/>
        <v>0.14175525000000003</v>
      </c>
      <c r="K191" s="61">
        <f t="shared" si="88"/>
        <v>0.14175525000000003</v>
      </c>
      <c r="L191" s="61">
        <f t="shared" si="88"/>
        <v>0.13718250000000004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2.2863750000000002E-2</v>
      </c>
      <c r="T191" s="61">
        <f t="shared" si="88"/>
        <v>2.3625875000000005E-2</v>
      </c>
      <c r="U191" s="61">
        <f t="shared" si="88"/>
        <v>0.14175525000000003</v>
      </c>
      <c r="V191" s="61">
        <f t="shared" si="88"/>
        <v>0.13718250000000004</v>
      </c>
      <c r="W191" s="61">
        <f t="shared" si="88"/>
        <v>0.13718250000000004</v>
      </c>
      <c r="X191" s="61">
        <f t="shared" si="88"/>
        <v>0.14175525000000003</v>
      </c>
      <c r="Y191" s="61">
        <f t="shared" si="88"/>
        <v>0.14175525000000003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0.14175525000000003</v>
      </c>
      <c r="C198" s="61">
        <f t="shared" ref="C198:Y198" si="95">SUM(C188:C197)</f>
        <v>0.14175525000000003</v>
      </c>
      <c r="D198" s="61">
        <f t="shared" si="95"/>
        <v>0.12803700000000004</v>
      </c>
      <c r="E198" s="61">
        <f t="shared" si="95"/>
        <v>0.12803700000000004</v>
      </c>
      <c r="F198" s="61">
        <f t="shared" si="95"/>
        <v>0.14175525000000003</v>
      </c>
      <c r="G198" s="61">
        <f t="shared" si="95"/>
        <v>0.14175525000000003</v>
      </c>
      <c r="H198" s="61">
        <f t="shared" si="95"/>
        <v>0.13718250000000004</v>
      </c>
      <c r="I198" s="61">
        <f t="shared" si="95"/>
        <v>0.13718250000000004</v>
      </c>
      <c r="J198" s="61">
        <f t="shared" si="95"/>
        <v>0.14175525000000003</v>
      </c>
      <c r="K198" s="61">
        <f t="shared" si="95"/>
        <v>1.9148771687499999</v>
      </c>
      <c r="L198" s="61">
        <f t="shared" si="95"/>
        <v>1.8531069375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1.4129797500000001</v>
      </c>
      <c r="T198" s="61">
        <f t="shared" si="95"/>
        <v>1.4600790750000001</v>
      </c>
      <c r="U198" s="61">
        <f t="shared" si="95"/>
        <v>1.5782084500000002</v>
      </c>
      <c r="V198" s="61">
        <f t="shared" si="95"/>
        <v>1.8531069375</v>
      </c>
      <c r="W198" s="61">
        <f t="shared" si="95"/>
        <v>1.8531069375</v>
      </c>
      <c r="X198" s="61">
        <f t="shared" si="95"/>
        <v>1.9148771687499999</v>
      </c>
      <c r="Y198" s="61">
        <f t="shared" si="95"/>
        <v>0.14175525000000003</v>
      </c>
      <c r="AA198" s="64">
        <f>SUM(B198:Y198)</f>
        <v>15.221312924999999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0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3.2654294803125006</v>
      </c>
      <c r="I215" s="61">
        <f t="shared" si="107"/>
        <v>2.0759864156250001</v>
      </c>
      <c r="J215" s="61">
        <f t="shared" si="107"/>
        <v>2.1364930038437504</v>
      </c>
      <c r="K215" s="61">
        <f t="shared" si="107"/>
        <v>2.1278000448749999</v>
      </c>
      <c r="L215" s="61">
        <f t="shared" si="107"/>
        <v>2.0507487928125001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1.9245606787500003</v>
      </c>
      <c r="T215" s="61">
        <f t="shared" si="107"/>
        <v>1.5934118303750002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1.7731219187499998</v>
      </c>
      <c r="C216" s="61">
        <f t="shared" ref="C216:Y216" si="108">C185</f>
        <v>1.7731219187499998</v>
      </c>
      <c r="D216" s="61">
        <f t="shared" si="108"/>
        <v>0</v>
      </c>
      <c r="E216" s="61">
        <f t="shared" si="108"/>
        <v>0</v>
      </c>
      <c r="F216" s="61">
        <f t="shared" si="108"/>
        <v>1.7731219187499998</v>
      </c>
      <c r="G216" s="61">
        <f t="shared" si="108"/>
        <v>1.7731219187499998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0.14175525000000003</v>
      </c>
      <c r="C217" s="61">
        <f t="shared" ref="C217:Y217" si="109">C198</f>
        <v>0.14175525000000003</v>
      </c>
      <c r="D217" s="61">
        <f t="shared" si="109"/>
        <v>0.12803700000000004</v>
      </c>
      <c r="E217" s="61">
        <f t="shared" si="109"/>
        <v>0.12803700000000004</v>
      </c>
      <c r="F217" s="61">
        <f t="shared" si="109"/>
        <v>0.14175525000000003</v>
      </c>
      <c r="G217" s="61">
        <f t="shared" si="109"/>
        <v>0.14175525000000003</v>
      </c>
      <c r="H217" s="61">
        <f t="shared" si="109"/>
        <v>0.13718250000000004</v>
      </c>
      <c r="I217" s="61">
        <f t="shared" si="109"/>
        <v>0.13718250000000004</v>
      </c>
      <c r="J217" s="61">
        <f t="shared" si="109"/>
        <v>0.14175525000000003</v>
      </c>
      <c r="K217" s="61">
        <f t="shared" si="109"/>
        <v>1.9148771687499999</v>
      </c>
      <c r="L217" s="61">
        <f t="shared" si="109"/>
        <v>1.8531069375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1.4129797500000001</v>
      </c>
      <c r="T217" s="61">
        <f t="shared" si="109"/>
        <v>1.4600790750000001</v>
      </c>
      <c r="U217" s="61">
        <f t="shared" si="109"/>
        <v>1.5782084500000002</v>
      </c>
      <c r="V217" s="61">
        <f t="shared" si="109"/>
        <v>1.8531069375</v>
      </c>
      <c r="W217" s="61">
        <f t="shared" si="109"/>
        <v>1.8531069375</v>
      </c>
      <c r="X217" s="61">
        <f t="shared" si="109"/>
        <v>1.9148771687499999</v>
      </c>
      <c r="Y217" s="61">
        <f t="shared" si="109"/>
        <v>0.14175525000000003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83.984338756125041</v>
      </c>
      <c r="AB219" t="s">
        <v>224</v>
      </c>
    </row>
    <row r="220" spans="1:28" x14ac:dyDescent="0.25">
      <c r="AA220" s="30">
        <f>SUM(B215:Y217)</f>
        <v>55.351925405125023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30.4695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94.499677751337501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3.2654294803125006</v>
      </c>
      <c r="N5" s="143">
        <f>CdTrp1!I215+CdTrp2!I215+CdTrp3!I215+CdTrp4!I215</f>
        <v>2.0759864156250001</v>
      </c>
      <c r="O5" s="143">
        <f>CdTrp1!J215+CdTrp2!J215+CdTrp3!J215+CdTrp4!J215</f>
        <v>2.1364930038437504</v>
      </c>
      <c r="P5" s="143">
        <f>CdTrp1!K215+CdTrp2!K215+CdTrp3!K215+CdTrp4!K215</f>
        <v>2.1278000448749999</v>
      </c>
      <c r="Q5" s="143">
        <f>CdTrp1!L215+CdTrp2!L215+CdTrp3!L215+CdTrp4!L215</f>
        <v>2.0507487928125001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1.9245606787500003</v>
      </c>
      <c r="Y5" s="143">
        <f>CdTrp1!T215+CdTrp2!T215+CdTrp3!T215+CdTrp4!T215</f>
        <v>1.5934118303750002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83.984338756125027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1.7731219187499998</v>
      </c>
      <c r="H6" s="143">
        <f>CdTrp1!C216+CdTrp2!C216+CdTrp3!C216+CdTrp4!C216</f>
        <v>1.7731219187499998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1.7731219187499998</v>
      </c>
      <c r="L6" s="143">
        <f>CdTrp1!G216+CdTrp2!G216+CdTrp3!G216+CdTrp4!G216</f>
        <v>1.7731219187499998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94.5</v>
      </c>
      <c r="D7" t="s">
        <v>249</v>
      </c>
      <c r="F7" s="38" t="s">
        <v>221</v>
      </c>
      <c r="G7" s="143">
        <f>CdTrp1!B217+CdTrp2!B217+CdTrp3!B217+CdTrp4!B217</f>
        <v>0.14175525000000003</v>
      </c>
      <c r="H7" s="143">
        <f>CdTrp1!C217+CdTrp2!C217+CdTrp3!C217+CdTrp4!C217</f>
        <v>0.14175525000000003</v>
      </c>
      <c r="I7" s="143">
        <f>CdTrp1!D217+CdTrp2!D217+CdTrp3!D217+CdTrp4!D217</f>
        <v>0.12803700000000004</v>
      </c>
      <c r="J7" s="143">
        <f>CdTrp1!E217+CdTrp2!E217+CdTrp3!E217+CdTrp4!E217</f>
        <v>0.12803700000000004</v>
      </c>
      <c r="K7" s="143">
        <f>CdTrp1!F217+CdTrp2!F217+CdTrp3!F217+CdTrp4!F217</f>
        <v>0.14175525000000003</v>
      </c>
      <c r="L7" s="143">
        <f>CdTrp1!G217+CdTrp2!G217+CdTrp3!G217+CdTrp4!G217</f>
        <v>0.14175525000000003</v>
      </c>
      <c r="M7" s="143">
        <f>CdTrp1!H217+CdTrp2!H217+CdTrp3!H217+CdTrp4!H217</f>
        <v>0.13718250000000004</v>
      </c>
      <c r="N7" s="143">
        <f>CdTrp1!I217+CdTrp2!I217+CdTrp3!I217+CdTrp4!I217</f>
        <v>0.13718250000000004</v>
      </c>
      <c r="O7" s="143">
        <f>CdTrp1!J217+CdTrp2!J217+CdTrp3!J217+CdTrp4!J217</f>
        <v>0.14175525000000003</v>
      </c>
      <c r="P7" s="143">
        <f>CdTrp1!K217+CdTrp2!K217+CdTrp3!K217+CdTrp4!K217</f>
        <v>1.9148771687499999</v>
      </c>
      <c r="Q7" s="143">
        <f>CdTrp1!L217+CdTrp2!L217+CdTrp3!L217+CdTrp4!L217</f>
        <v>1.8531069375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1.4129797500000001</v>
      </c>
      <c r="Y7" s="143">
        <f>CdTrp1!T217+CdTrp2!T217+CdTrp3!T217+CdTrp4!T217</f>
        <v>1.4600790750000001</v>
      </c>
      <c r="Z7" s="143">
        <f>CdTrp1!U217+CdTrp2!U217+CdTrp3!U217+CdTrp4!U217</f>
        <v>1.5782084500000002</v>
      </c>
      <c r="AA7" s="143">
        <f>CdTrp1!V217+CdTrp2!V217+CdTrp3!V217+CdTrp4!V217</f>
        <v>1.8531069375</v>
      </c>
      <c r="AB7" s="143">
        <f>CdTrp1!W217+CdTrp2!W217+CdTrp3!W217+CdTrp4!W217</f>
        <v>1.8531069375</v>
      </c>
      <c r="AC7" s="143">
        <f>CdTrp1!X217+CdTrp2!X217+CdTrp3!X217+CdTrp4!X217</f>
        <v>1.9148771687499999</v>
      </c>
      <c r="AD7" s="143">
        <f>CdTrp1!Y217+CdTrp2!Y217+CdTrp3!Y217+CdTrp4!Y217</f>
        <v>0.14175525000000003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1.9148771687499999</v>
      </c>
      <c r="H8" s="143">
        <f t="shared" ref="H8:AD8" si="0">SUM(H5:H7)</f>
        <v>1.9148771687499999</v>
      </c>
      <c r="I8" s="143">
        <f t="shared" si="0"/>
        <v>1.7295664749999999</v>
      </c>
      <c r="J8" s="143">
        <f t="shared" si="0"/>
        <v>3.5094863728750005</v>
      </c>
      <c r="K8" s="143">
        <f t="shared" si="0"/>
        <v>3.8687314882562505</v>
      </c>
      <c r="L8" s="143">
        <f t="shared" si="0"/>
        <v>3.860345847400001</v>
      </c>
      <c r="M8" s="143">
        <f t="shared" si="0"/>
        <v>5.1185364178124999</v>
      </c>
      <c r="N8" s="143">
        <f t="shared" si="0"/>
        <v>3.9290933531250003</v>
      </c>
      <c r="O8" s="143">
        <f t="shared" si="0"/>
        <v>4.0513701725937503</v>
      </c>
      <c r="P8" s="143">
        <f t="shared" si="0"/>
        <v>4.0426772136249998</v>
      </c>
      <c r="Q8" s="143">
        <f t="shared" si="0"/>
        <v>3.9038557303125003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3.3375404287500006</v>
      </c>
      <c r="Y8" s="143">
        <f t="shared" si="0"/>
        <v>3.0534909053750003</v>
      </c>
      <c r="Z8" s="143">
        <f t="shared" si="0"/>
        <v>1.5782084500000002</v>
      </c>
      <c r="AA8" s="143">
        <f t="shared" si="0"/>
        <v>1.8531069375</v>
      </c>
      <c r="AB8" s="143">
        <f t="shared" si="0"/>
        <v>1.8531069375</v>
      </c>
      <c r="AC8" s="143">
        <f t="shared" si="0"/>
        <v>1.9148771687499999</v>
      </c>
      <c r="AD8" s="143">
        <f t="shared" si="0"/>
        <v>1.9148771687499999</v>
      </c>
      <c r="AE8" s="153"/>
      <c r="AF8" s="144">
        <f>SUM(G8:AD8)</f>
        <v>55.351925405125023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29"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1.9148771687499999</v>
      </c>
      <c r="AT5" s="13">
        <f>'Conduite Trp'!H8</f>
        <v>1.9148771687499999</v>
      </c>
      <c r="AU5" s="13">
        <f>'Conduite Trp'!I8</f>
        <v>1.7295664749999999</v>
      </c>
      <c r="AV5" s="13">
        <f>'Conduite Trp'!J8</f>
        <v>3.5094863728750005</v>
      </c>
      <c r="AW5" s="13">
        <f>'Conduite Trp'!K8</f>
        <v>3.8687314882562505</v>
      </c>
      <c r="AX5" s="13">
        <f>'Conduite Trp'!L8</f>
        <v>3.860345847400001</v>
      </c>
      <c r="AY5" s="13">
        <f>'Conduite Trp'!M8</f>
        <v>5.1185364178124999</v>
      </c>
      <c r="AZ5" s="13">
        <f>'Conduite Trp'!N8</f>
        <v>3.9290933531250003</v>
      </c>
      <c r="BA5" s="13">
        <f>'Conduite Trp'!O8</f>
        <v>4.0513701725937503</v>
      </c>
      <c r="BB5" s="13">
        <f>'Conduite Trp'!P8</f>
        <v>4.0426772136249998</v>
      </c>
      <c r="BC5" s="13">
        <f>'Conduite Trp'!Q8</f>
        <v>3.9038557303125003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3.3375404287500006</v>
      </c>
      <c r="BK5" s="13">
        <f>'Conduite Trp'!Y8</f>
        <v>3.0534909053750003</v>
      </c>
      <c r="BL5" s="13">
        <f>'Conduite Trp'!Z8</f>
        <v>1.5782084500000002</v>
      </c>
      <c r="BM5" s="13">
        <f>'Conduite Trp'!AA8</f>
        <v>1.8531069375</v>
      </c>
      <c r="BN5" s="13">
        <f>'Conduite Trp'!AB8</f>
        <v>1.8531069375</v>
      </c>
      <c r="BO5" s="13">
        <f>'Conduite Trp'!AC8</f>
        <v>1.9148771687499999</v>
      </c>
      <c r="BP5" s="13">
        <f>'Conduite Trp'!AD8</f>
        <v>1.9148771687499999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5.1185364178124999</v>
      </c>
      <c r="AZ7" s="61">
        <f t="shared" si="7"/>
        <v>3.9290933531250003</v>
      </c>
      <c r="BA7" s="61">
        <f t="shared" si="7"/>
        <v>4.0513701725937503</v>
      </c>
      <c r="BB7" s="61">
        <f t="shared" si="7"/>
        <v>4.0426772136249998</v>
      </c>
      <c r="BC7" s="61">
        <f t="shared" si="7"/>
        <v>3.9038557303125003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21.372157887468752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30.4695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30.4695</v>
      </c>
      <c r="G9" s="81"/>
      <c r="H9" s="61">
        <f>SUM(L34:L43)</f>
        <v>15</v>
      </c>
      <c r="I9" s="81"/>
      <c r="J9" s="81"/>
      <c r="K9" s="93">
        <f>H9-F9</f>
        <v>-15.4695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3.3375404287500006</v>
      </c>
      <c r="BK9" s="61">
        <f t="shared" si="10"/>
        <v>3.0534909053750003</v>
      </c>
      <c r="BL9" s="61">
        <f t="shared" si="10"/>
        <v>1.5782084500000002</v>
      </c>
      <c r="BM9" s="61">
        <f t="shared" si="10"/>
        <v>1.8531069375</v>
      </c>
      <c r="BN9" s="61">
        <f t="shared" si="10"/>
        <v>1.8531069375</v>
      </c>
      <c r="BO9" s="61">
        <f t="shared" si="10"/>
        <v>0</v>
      </c>
      <c r="BP9" s="61">
        <f t="shared" si="10"/>
        <v>0</v>
      </c>
      <c r="BR9" s="61">
        <f t="shared" si="9"/>
        <v>12.002078659125001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1.9148771687499999</v>
      </c>
      <c r="AT10" s="61">
        <f t="shared" ref="AT10:BP10" si="11">IF(AT$4=4,AT$5,0)</f>
        <v>1.9148771687499999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1.9148771687499999</v>
      </c>
      <c r="BP10" s="61">
        <f t="shared" si="11"/>
        <v>1.9148771687499999</v>
      </c>
      <c r="BR10" s="61">
        <f t="shared" si="9"/>
        <v>7.6595086749999997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1.7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2.5499999999999998</v>
      </c>
      <c r="AF11" s="61">
        <f t="shared" si="1"/>
        <v>0</v>
      </c>
      <c r="AG11" s="61">
        <f t="shared" si="2"/>
        <v>1.36</v>
      </c>
      <c r="AH11" s="61">
        <f t="shared" si="3"/>
        <v>0.85</v>
      </c>
      <c r="AI11" s="61">
        <f t="shared" si="4"/>
        <v>1.19</v>
      </c>
      <c r="AJ11" s="61">
        <f t="shared" si="5"/>
        <v>0</v>
      </c>
      <c r="AK11" s="141"/>
      <c r="AL11" s="61">
        <f t="shared" si="6"/>
        <v>10.709999999999999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1.7295664749999999</v>
      </c>
      <c r="AV11" s="61">
        <f t="shared" si="12"/>
        <v>3.5094863728750005</v>
      </c>
      <c r="AW11" s="61">
        <f t="shared" si="12"/>
        <v>3.8687314882562505</v>
      </c>
      <c r="AX11" s="61">
        <f t="shared" si="12"/>
        <v>3.860345847400001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12.968130183531253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3.2654294803125006</v>
      </c>
      <c r="AZ15" s="13">
        <f>'Conduite Trp'!N5</f>
        <v>2.0759864156250001</v>
      </c>
      <c r="BA15" s="13">
        <f>'Conduite Trp'!O5</f>
        <v>2.1364930038437504</v>
      </c>
      <c r="BB15" s="13">
        <f>'Conduite Trp'!P5</f>
        <v>2.1278000448749999</v>
      </c>
      <c r="BC15" s="13">
        <f>'Conduite Trp'!Q5</f>
        <v>2.0507487928125001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1.9245606787500003</v>
      </c>
      <c r="BK15" s="13">
        <f>'Conduite Trp'!Y5</f>
        <v>1.5934118303750002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1.7731219187499998</v>
      </c>
      <c r="AT16" s="13">
        <f>'Conduite Trp'!H6</f>
        <v>1.7731219187499998</v>
      </c>
      <c r="AU16" s="13">
        <f>'Conduite Trp'!I6</f>
        <v>0</v>
      </c>
      <c r="AV16" s="13">
        <f>'Conduite Trp'!J6</f>
        <v>0</v>
      </c>
      <c r="AW16" s="13">
        <f>'Conduite Trp'!K6</f>
        <v>1.7731219187499998</v>
      </c>
      <c r="AX16" s="13">
        <f>'Conduite Trp'!L6</f>
        <v>1.7731219187499998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0.14175525000000003</v>
      </c>
      <c r="AT17" s="13">
        <f>'Conduite Trp'!H7</f>
        <v>0.14175525000000003</v>
      </c>
      <c r="AU17" s="13">
        <f>'Conduite Trp'!I7</f>
        <v>0.12803700000000004</v>
      </c>
      <c r="AV17" s="13">
        <f>'Conduite Trp'!J7</f>
        <v>0.12803700000000004</v>
      </c>
      <c r="AW17" s="13">
        <f>'Conduite Trp'!K7</f>
        <v>0.14175525000000003</v>
      </c>
      <c r="AX17" s="13">
        <f>'Conduite Trp'!L7</f>
        <v>0.14175525000000003</v>
      </c>
      <c r="AY17" s="13">
        <f>'Conduite Trp'!M7</f>
        <v>0.13718250000000004</v>
      </c>
      <c r="AZ17" s="13">
        <f>'Conduite Trp'!N7</f>
        <v>0.13718250000000004</v>
      </c>
      <c r="BA17" s="13">
        <f>'Conduite Trp'!O7</f>
        <v>0.14175525000000003</v>
      </c>
      <c r="BB17" s="13">
        <f>'Conduite Trp'!P7</f>
        <v>1.9148771687499999</v>
      </c>
      <c r="BC17" s="13">
        <f>'Conduite Trp'!Q7</f>
        <v>1.8531069375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1.4129797500000001</v>
      </c>
      <c r="BK17" s="13">
        <f>'Conduite Trp'!Y7</f>
        <v>1.4600790750000001</v>
      </c>
      <c r="BL17" s="13">
        <f>'Conduite Trp'!Z7</f>
        <v>1.5782084500000002</v>
      </c>
      <c r="BM17" s="13">
        <f>'Conduite Trp'!AA7</f>
        <v>1.8531069375</v>
      </c>
      <c r="BN17" s="13">
        <f>'Conduite Trp'!AB7</f>
        <v>1.8531069375</v>
      </c>
      <c r="BO17" s="13">
        <f>'Conduite Trp'!AC7</f>
        <v>1.9148771687499999</v>
      </c>
      <c r="BP17" s="13">
        <f>'Conduite Trp'!AD7</f>
        <v>0.14175525000000003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3.2654294803125006</v>
      </c>
      <c r="AZ19" s="61">
        <f t="shared" si="15"/>
        <v>2.0759864156250001</v>
      </c>
      <c r="BA19" s="61">
        <f t="shared" si="15"/>
        <v>2.1364930038437504</v>
      </c>
      <c r="BB19" s="61">
        <f t="shared" si="15"/>
        <v>2.1278000448749999</v>
      </c>
      <c r="BC19" s="61">
        <f t="shared" si="15"/>
        <v>2.0507487928125001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11.656457737468752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1.9245606787500003</v>
      </c>
      <c r="BK21" s="61">
        <f t="shared" si="18"/>
        <v>1.5934118303750002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3.8445975091250002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21.8</v>
      </c>
      <c r="E24" s="61">
        <f t="shared" si="21"/>
        <v>2.2000000000000002</v>
      </c>
      <c r="F24" s="61">
        <f t="shared" si="21"/>
        <v>12.185</v>
      </c>
      <c r="G24" s="61">
        <f t="shared" si="21"/>
        <v>12.395</v>
      </c>
      <c r="H24" s="61">
        <f t="shared" si="21"/>
        <v>14.24</v>
      </c>
      <c r="I24" s="61">
        <f t="shared" si="21"/>
        <v>0</v>
      </c>
      <c r="J24" s="63"/>
      <c r="K24" s="61">
        <f>AL27+AL49+AL71</f>
        <v>59.16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21.372157887468752</v>
      </c>
      <c r="E25" s="61">
        <f>BR8</f>
        <v>1.3500500000000002</v>
      </c>
      <c r="F25" s="61">
        <f>BR9</f>
        <v>12.002078659125001</v>
      </c>
      <c r="G25" s="61">
        <f>BR10</f>
        <v>7.6595086749999997</v>
      </c>
      <c r="H25" s="61">
        <f>BR11</f>
        <v>12.968130183531253</v>
      </c>
      <c r="I25" s="61">
        <f>BR12</f>
        <v>0</v>
      </c>
      <c r="J25" s="63"/>
      <c r="K25" s="76">
        <f>'Conduite Trp'!C7</f>
        <v>94.5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0.42784211253124838</v>
      </c>
      <c r="E27" s="93">
        <f t="shared" si="23"/>
        <v>0.84994999999999998</v>
      </c>
      <c r="F27" s="93">
        <f t="shared" si="23"/>
        <v>0.18292134087499967</v>
      </c>
      <c r="G27" s="93">
        <f t="shared" si="23"/>
        <v>4.7354913249999999</v>
      </c>
      <c r="H27" s="93">
        <f t="shared" si="23"/>
        <v>1.2718698164687474</v>
      </c>
      <c r="I27" s="93">
        <f t="shared" si="23"/>
        <v>0</v>
      </c>
      <c r="J27" s="63"/>
      <c r="K27" s="93">
        <f>K24-K25</f>
        <v>-35.340000000000003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11.600000000000001</v>
      </c>
      <c r="AF27" s="75">
        <f t="shared" ref="AF27:AJ27" si="24">SUM(AF7:AF26)</f>
        <v>2.2000000000000002</v>
      </c>
      <c r="AG27" s="75">
        <f t="shared" si="24"/>
        <v>4.2350000000000003</v>
      </c>
      <c r="AH27" s="75">
        <f t="shared" si="24"/>
        <v>4.875</v>
      </c>
      <c r="AI27" s="75">
        <f t="shared" si="24"/>
        <v>9.24</v>
      </c>
      <c r="AJ27" s="75">
        <f t="shared" si="24"/>
        <v>0</v>
      </c>
      <c r="AK27"/>
      <c r="AL27" s="75">
        <f>SUM(AL7:AL26)</f>
        <v>39.159999999999997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1.7731219187499998</v>
      </c>
      <c r="AT30" s="61">
        <f t="shared" ref="AT30:BP30" si="36">IF(AT$4=4,AT$16,0)</f>
        <v>1.7731219187499998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5.319365756249999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1.7731219187499998</v>
      </c>
      <c r="AX31" s="61">
        <f t="shared" si="37"/>
        <v>1.7731219187499998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3.5462438374999996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0.13718250000000004</v>
      </c>
      <c r="AZ35" s="61">
        <f t="shared" si="43"/>
        <v>0.13718250000000004</v>
      </c>
      <c r="BA35" s="61">
        <f t="shared" si="43"/>
        <v>0.14175525000000003</v>
      </c>
      <c r="BB35" s="61">
        <f t="shared" si="43"/>
        <v>1.9148771687499999</v>
      </c>
      <c r="BC35" s="61">
        <f t="shared" si="43"/>
        <v>1.8531069375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4.1841043562499998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1.4129797500000001</v>
      </c>
      <c r="BK37" s="61">
        <f t="shared" si="46"/>
        <v>1.4600790750000001</v>
      </c>
      <c r="BL37" s="61">
        <f t="shared" si="46"/>
        <v>1.5782084500000002</v>
      </c>
      <c r="BM37" s="61">
        <f t="shared" si="46"/>
        <v>1.8531069375</v>
      </c>
      <c r="BN37" s="61">
        <f t="shared" si="46"/>
        <v>1.8531069375</v>
      </c>
      <c r="BO37" s="61">
        <f t="shared" si="46"/>
        <v>0</v>
      </c>
      <c r="BP37" s="61">
        <f t="shared" si="46"/>
        <v>0</v>
      </c>
      <c r="BR37" s="61">
        <f t="shared" si="45"/>
        <v>8.1574811500000006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0.14175525000000003</v>
      </c>
      <c r="AT38" s="61">
        <f t="shared" ref="AT38:BP38" si="47">IF(AT$4=4,AT$17,0)</f>
        <v>0.14175525000000003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1.9148771687499999</v>
      </c>
      <c r="BP38" s="61">
        <f t="shared" si="47"/>
        <v>0.14175525000000003</v>
      </c>
      <c r="BR38" s="61">
        <f t="shared" si="45"/>
        <v>2.3401429187500002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0.12803700000000004</v>
      </c>
      <c r="AV39" s="61">
        <f t="shared" si="48"/>
        <v>0.12803700000000004</v>
      </c>
      <c r="AW39" s="61">
        <f t="shared" si="48"/>
        <v>0.14175525000000003</v>
      </c>
      <c r="AX39" s="61">
        <f t="shared" si="48"/>
        <v>0.14175525000000003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0.53958450000000013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11.600000000000001</v>
      </c>
      <c r="E72" s="61">
        <f t="shared" ref="E72:H72" si="69">AF27</f>
        <v>2.2000000000000002</v>
      </c>
      <c r="F72" s="61">
        <f t="shared" si="69"/>
        <v>4.2350000000000003</v>
      </c>
      <c r="G72" s="61">
        <f t="shared" si="69"/>
        <v>4.875</v>
      </c>
      <c r="H72" s="61">
        <f t="shared" si="69"/>
        <v>9.24</v>
      </c>
      <c r="I72" s="61">
        <f t="shared" ref="I72" si="70">AJ75+AJ97+AJ119</f>
        <v>0</v>
      </c>
      <c r="J72" s="63"/>
      <c r="K72" s="61">
        <f>+K24</f>
        <v>59.16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11.656457737468752</v>
      </c>
      <c r="E73" s="61">
        <f>BR20</f>
        <v>1.3500500000000002</v>
      </c>
      <c r="F73" s="61">
        <f>BR21</f>
        <v>3.8445975091250002</v>
      </c>
      <c r="G73" s="61">
        <f>BR22</f>
        <v>0</v>
      </c>
      <c r="H73" s="61">
        <f>BR23</f>
        <v>8.8823018460312522</v>
      </c>
      <c r="I73" s="61">
        <f>BR60</f>
        <v>0</v>
      </c>
      <c r="J73" s="63"/>
      <c r="K73" s="76">
        <f>+K25</f>
        <v>94.5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-5.6457737468750935E-2</v>
      </c>
      <c r="E75" s="93">
        <f t="shared" ref="E75:I75" si="71">E72-E73</f>
        <v>0.84994999999999998</v>
      </c>
      <c r="F75" s="93">
        <f t="shared" si="71"/>
        <v>0.39040249087500012</v>
      </c>
      <c r="G75" s="93">
        <f t="shared" si="71"/>
        <v>4.875</v>
      </c>
      <c r="H75" s="93">
        <f t="shared" si="71"/>
        <v>0.35769815396874804</v>
      </c>
      <c r="I75" s="93">
        <f t="shared" si="71"/>
        <v>0</v>
      </c>
      <c r="J75" s="63"/>
      <c r="K75" s="93">
        <f>+K27</f>
        <v>-35.340000000000003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5.319365756249999</v>
      </c>
      <c r="H83" s="61">
        <f>BR31</f>
        <v>3.5462438374999996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-0.31936575624999897</v>
      </c>
      <c r="H85" s="93">
        <f t="shared" si="73"/>
        <v>1.4537561625000004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4.1841043562499998</v>
      </c>
      <c r="E93" s="61">
        <f>BR36</f>
        <v>0</v>
      </c>
      <c r="F93" s="61">
        <f>BR37</f>
        <v>8.1574811500000006</v>
      </c>
      <c r="G93" s="61">
        <f>BR38</f>
        <v>2.3401429187500002</v>
      </c>
      <c r="H93" s="61">
        <f>BR39</f>
        <v>0.53958450000000013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1.589564375000041E-2</v>
      </c>
      <c r="E95" s="93">
        <f t="shared" ref="E95:H95" si="75">E92-E93</f>
        <v>0</v>
      </c>
      <c r="F95" s="93">
        <f t="shared" si="75"/>
        <v>-0.20748115000000045</v>
      </c>
      <c r="G95" s="93">
        <f t="shared" si="75"/>
        <v>0.17985708124999977</v>
      </c>
      <c r="H95" s="93">
        <f t="shared" si="75"/>
        <v>-0.53958450000000013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265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265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2023-01-09T09:35:55Z</dcterms:modified>
</cp:coreProperties>
</file>