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70" r:id="rId18"/>
  </pivotCaches>
</workbook>
</file>

<file path=xl/calcChain.xml><?xml version="1.0" encoding="utf-8"?>
<calcChain xmlns="http://schemas.openxmlformats.org/spreadsheetml/2006/main">
  <c r="N15" i="18" l="1"/>
  <c r="O15" i="18"/>
  <c r="P15" i="18"/>
  <c r="Q15" i="18"/>
  <c r="R15" i="18"/>
  <c r="M15" i="18"/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AX11" i="29"/>
  <c r="AY11" i="29"/>
  <c r="AZ11" i="29"/>
  <c r="AV12" i="29"/>
  <c r="AW12" i="29"/>
  <c r="AX12" i="29"/>
  <c r="AY12" i="29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BD15" i="29" s="1"/>
  <c r="BE15" i="29" s="1"/>
  <c r="BF15" i="29" s="1"/>
  <c r="AX15" i="29"/>
  <c r="AY15" i="29"/>
  <c r="AZ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AX19" i="29"/>
  <c r="AY19" i="29"/>
  <c r="BD19" i="29" s="1"/>
  <c r="BE19" i="29" s="1"/>
  <c r="BF19" i="29" s="1"/>
  <c r="AZ19" i="29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D8" i="29" l="1"/>
  <c r="BE8" i="29" s="1"/>
  <c r="BF8" i="29" s="1"/>
  <c r="BH8" i="29" s="1"/>
  <c r="BD12" i="29"/>
  <c r="BE12" i="29" s="1"/>
  <c r="BF12" i="29" s="1"/>
  <c r="BK12" i="29" s="1"/>
  <c r="BD11" i="29"/>
  <c r="BE11" i="29" s="1"/>
  <c r="BF11" i="29" s="1"/>
  <c r="BJ11" i="29" s="1"/>
  <c r="BI19" i="29"/>
  <c r="BG17" i="29"/>
  <c r="BL20" i="29"/>
  <c r="BG20" i="29"/>
  <c r="BI20" i="29"/>
  <c r="BK20" i="29"/>
  <c r="BJ20" i="29"/>
  <c r="BI16" i="29"/>
  <c r="BJ16" i="29"/>
  <c r="BK16" i="29"/>
  <c r="BL16" i="29"/>
  <c r="BG16" i="29"/>
  <c r="BG19" i="29"/>
  <c r="BL19" i="29"/>
  <c r="BK19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G15" i="29"/>
  <c r="BH15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L8" i="29" l="1"/>
  <c r="BG8" i="29"/>
  <c r="BJ8" i="29"/>
  <c r="BI8" i="29"/>
  <c r="BK8" i="29"/>
  <c r="BG12" i="29"/>
  <c r="BJ12" i="29"/>
  <c r="BI12" i="29"/>
  <c r="BL12" i="29"/>
  <c r="BH12" i="29"/>
  <c r="BH11" i="29"/>
  <c r="BI11" i="29"/>
  <c r="BG11" i="29"/>
  <c r="BL11" i="29"/>
  <c r="BK11" i="29"/>
  <c r="BG13" i="29"/>
  <c r="BJ10" i="29"/>
  <c r="BL10" i="29"/>
  <c r="BK10" i="29"/>
  <c r="BH10" i="29"/>
  <c r="BI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BI13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Z254" i="31"/>
  <c r="AT2" i="30"/>
  <c r="BZ2" i="30"/>
  <c r="DC2" i="30"/>
  <c r="AD13" i="29"/>
  <c r="AD14" i="29" s="1"/>
  <c r="T233" i="31" s="1"/>
  <c r="T271" i="31" s="1"/>
  <c r="AH22" i="29"/>
  <c r="AE22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S138" i="32" s="1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H134" i="32" s="1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J154" i="32" s="1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J152" i="32" s="1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Z74" i="31" s="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J73" i="31" s="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Z73" i="31" s="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D48" i="31"/>
  <c r="BC48" i="31"/>
  <c r="BB48" i="31"/>
  <c r="BA48" i="31"/>
  <c r="AZ48" i="31"/>
  <c r="AZ70" i="31" s="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V72" i="31" s="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J19" i="30" s="1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J17" i="30" s="1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H15" i="30" s="1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B93" i="30" s="1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L92" i="30" s="1"/>
  <c r="BK39" i="30"/>
  <c r="BJ39" i="30"/>
  <c r="BJ92" i="30" s="1"/>
  <c r="BI39" i="30"/>
  <c r="BH39" i="30"/>
  <c r="BG39" i="30"/>
  <c r="BF39" i="30"/>
  <c r="BE39" i="30"/>
  <c r="BD39" i="30"/>
  <c r="BD92" i="30" s="1"/>
  <c r="BC39" i="30"/>
  <c r="BB39" i="30"/>
  <c r="BA39" i="30"/>
  <c r="AZ39" i="30"/>
  <c r="AY39" i="30"/>
  <c r="AX39" i="30"/>
  <c r="AW39" i="30"/>
  <c r="AV39" i="30"/>
  <c r="BS38" i="30"/>
  <c r="BS91" i="30" s="1"/>
  <c r="BR38" i="30"/>
  <c r="BR91" i="30" s="1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Z91" i="30" s="1"/>
  <c r="AY38" i="30"/>
  <c r="AX38" i="30"/>
  <c r="AW38" i="30"/>
  <c r="AV38" i="30"/>
  <c r="BS37" i="30"/>
  <c r="BR37" i="30"/>
  <c r="BQ37" i="30"/>
  <c r="BP37" i="30"/>
  <c r="BP90" i="30" s="1"/>
  <c r="BO37" i="30"/>
  <c r="BN37" i="30"/>
  <c r="BM37" i="30"/>
  <c r="BL37" i="30"/>
  <c r="BK37" i="30"/>
  <c r="BJ37" i="30"/>
  <c r="BI37" i="30"/>
  <c r="BH37" i="30"/>
  <c r="BH90" i="30" s="1"/>
  <c r="BG37" i="30"/>
  <c r="BF37" i="30"/>
  <c r="BE37" i="30"/>
  <c r="BD37" i="30"/>
  <c r="BC37" i="30"/>
  <c r="BB37" i="30"/>
  <c r="BA37" i="30"/>
  <c r="AZ37" i="30"/>
  <c r="AZ90" i="30" s="1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N20" i="29" s="1"/>
  <c r="N21" i="29" s="1"/>
  <c r="N7" i="29" s="1"/>
  <c r="N12" i="29" s="1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V20" i="29" s="1"/>
  <c r="V21" i="29" s="1"/>
  <c r="V7" i="29" s="1"/>
  <c r="V12" i="29" s="1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F20" i="29" s="1"/>
  <c r="F21" i="29" s="1"/>
  <c r="F7" i="29" s="1"/>
  <c r="F12" i="29" s="1"/>
  <c r="E82" i="29"/>
  <c r="E20" i="29" s="1"/>
  <c r="E21" i="29" s="1"/>
  <c r="E7" i="29" s="1"/>
  <c r="E12" i="29" s="1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C24" i="32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D43" i="32" s="1"/>
  <c r="C44" i="32"/>
  <c r="D44" i="32" s="1"/>
  <c r="C46" i="32"/>
  <c r="D46" i="32" s="1"/>
  <c r="C47" i="32"/>
  <c r="D47" i="32" s="1"/>
  <c r="C49" i="32"/>
  <c r="D49" i="32" s="1"/>
  <c r="C50" i="32"/>
  <c r="D50" i="32" s="1"/>
  <c r="C51" i="32"/>
  <c r="C52" i="32"/>
  <c r="C53" i="32"/>
  <c r="C54" i="32"/>
  <c r="C55" i="32"/>
  <c r="D55" i="32" s="1"/>
  <c r="C56" i="32"/>
  <c r="D56" i="32" s="1"/>
  <c r="C57" i="32"/>
  <c r="D57" i="32" s="1"/>
  <c r="C58" i="32"/>
  <c r="D58" i="32" s="1"/>
  <c r="C59" i="32"/>
  <c r="C60" i="32"/>
  <c r="D60" i="32" s="1"/>
  <c r="C61" i="32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BP89" i="32"/>
  <c r="BZ89" i="32"/>
  <c r="CA89" i="32"/>
  <c r="CT89" i="32"/>
  <c r="DC89" i="32"/>
  <c r="DD89" i="32"/>
  <c r="DV89" i="32" s="1"/>
  <c r="DY89" i="32"/>
  <c r="AU90" i="32"/>
  <c r="AX90" i="32" s="1"/>
  <c r="BG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Z98" i="32"/>
  <c r="CL151" i="32"/>
  <c r="CX151" i="32"/>
  <c r="DC98" i="32"/>
  <c r="DF151" i="32"/>
  <c r="DN151" i="32"/>
  <c r="DV151" i="32"/>
  <c r="AE129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Q129" i="32"/>
  <c r="Y129" i="32"/>
  <c r="DC129" i="32"/>
  <c r="P130" i="32"/>
  <c r="O134" i="32"/>
  <c r="AD134" i="32"/>
  <c r="AE134" i="32"/>
  <c r="J136" i="32"/>
  <c r="N136" i="32"/>
  <c r="AD136" i="32"/>
  <c r="L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BG152" i="32"/>
  <c r="BH152" i="32"/>
  <c r="BI152" i="32"/>
  <c r="BK152" i="32"/>
  <c r="BL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BG154" i="32"/>
  <c r="BH154" i="32"/>
  <c r="BI154" i="32"/>
  <c r="BK154" i="32"/>
  <c r="BL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G155" i="32"/>
  <c r="BH155" i="32"/>
  <c r="BI155" i="32"/>
  <c r="BJ155" i="32"/>
  <c r="BK155" i="32"/>
  <c r="BL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A73" i="31"/>
  <c r="BI73" i="31"/>
  <c r="BM73" i="31"/>
  <c r="CC73" i="31"/>
  <c r="CK73" i="31"/>
  <c r="CS73" i="31"/>
  <c r="DE73" i="31"/>
  <c r="DN73" i="31"/>
  <c r="DR73" i="31"/>
  <c r="DV73" i="31"/>
  <c r="DZ73" i="31"/>
  <c r="S52" i="31"/>
  <c r="AY74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AY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W72" i="31"/>
  <c r="AX72" i="31"/>
  <c r="AY72" i="31"/>
  <c r="BA72" i="31"/>
  <c r="BC72" i="31"/>
  <c r="BD72" i="31"/>
  <c r="BE72" i="31"/>
  <c r="BI72" i="31"/>
  <c r="BJ72" i="31"/>
  <c r="BK72" i="31"/>
  <c r="BM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AY73" i="31"/>
  <c r="BC73" i="31"/>
  <c r="BD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A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W273" i="31"/>
  <c r="AM217" i="32" s="1"/>
  <c r="T246" i="31"/>
  <c r="B166" i="31" s="1"/>
  <c r="Z256" i="31"/>
  <c r="Z257" i="31"/>
  <c r="Z258" i="31"/>
  <c r="Z259" i="31"/>
  <c r="Z260" i="31"/>
  <c r="AM219" i="32"/>
  <c r="AU2" i="30"/>
  <c r="CA2" i="30"/>
  <c r="CA120" i="32" s="1"/>
  <c r="DD2" i="30"/>
  <c r="AW15" i="30"/>
  <c r="AW60" i="30" s="1"/>
  <c r="AW106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J20" i="30"/>
  <c r="BN20" i="30"/>
  <c r="BR20" i="30"/>
  <c r="BR65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X15" i="30"/>
  <c r="AX60" i="30" s="1"/>
  <c r="AX106" i="30" s="1"/>
  <c r="AY15" i="30"/>
  <c r="AZ15" i="30"/>
  <c r="BB15" i="30"/>
  <c r="BC15" i="30"/>
  <c r="BD15" i="30"/>
  <c r="BF15" i="30"/>
  <c r="BG15" i="30"/>
  <c r="BJ15" i="30"/>
  <c r="BK15" i="30"/>
  <c r="BL15" i="30"/>
  <c r="BN15" i="30"/>
  <c r="BO15" i="30"/>
  <c r="BR15" i="30"/>
  <c r="BR60" i="30" s="1"/>
  <c r="BR106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BA20" i="30"/>
  <c r="BC20" i="30"/>
  <c r="BC65" i="30" s="1"/>
  <c r="BD20" i="30"/>
  <c r="BD76" i="30" s="1"/>
  <c r="BE20" i="30"/>
  <c r="BG20" i="30"/>
  <c r="BG65" i="30" s="1"/>
  <c r="BG111" i="30" s="1"/>
  <c r="BI20" i="30"/>
  <c r="BI65" i="30" s="1"/>
  <c r="BI111" i="30" s="1"/>
  <c r="BK20" i="30"/>
  <c r="BL20" i="30"/>
  <c r="BM20" i="30"/>
  <c r="BM65" i="30" s="1"/>
  <c r="BM111" i="30" s="1"/>
  <c r="BO20" i="30"/>
  <c r="BO65" i="30" s="1"/>
  <c r="BP20" i="30"/>
  <c r="BQ20" i="30"/>
  <c r="BQ65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BR28" i="30" s="1"/>
  <c r="BQ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O106" i="30" s="1"/>
  <c r="BQ60" i="30"/>
  <c r="BQ106" i="30" s="1"/>
  <c r="BS60" i="30"/>
  <c r="BS106" i="30" s="1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BE64" i="30"/>
  <c r="BE110" i="30" s="1"/>
  <c r="BF64" i="30"/>
  <c r="BF110" i="30" s="1"/>
  <c r="BN64" i="30"/>
  <c r="BN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X65" i="30"/>
  <c r="AZ65" i="30"/>
  <c r="BA65" i="30"/>
  <c r="BJ65" i="30"/>
  <c r="BJ111" i="30" s="1"/>
  <c r="BK65" i="30"/>
  <c r="BK111" i="30" s="1"/>
  <c r="BL65" i="30"/>
  <c r="BL111" i="30" s="1"/>
  <c r="BN65" i="30"/>
  <c r="BP65" i="30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AT90" i="30"/>
  <c r="AV90" i="30"/>
  <c r="AW90" i="30"/>
  <c r="AX90" i="30"/>
  <c r="AY90" i="30"/>
  <c r="BA90" i="30"/>
  <c r="BB90" i="30"/>
  <c r="BC90" i="30"/>
  <c r="BD90" i="30"/>
  <c r="BE90" i="30"/>
  <c r="BF90" i="30"/>
  <c r="BG90" i="30"/>
  <c r="BI90" i="30"/>
  <c r="BJ90" i="30"/>
  <c r="BK90" i="30"/>
  <c r="BL90" i="30"/>
  <c r="BM90" i="30"/>
  <c r="BN90" i="30"/>
  <c r="BO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E92" i="30"/>
  <c r="BF92" i="30"/>
  <c r="BG92" i="30"/>
  <c r="BH92" i="30"/>
  <c r="BI92" i="30"/>
  <c r="BK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AZ93" i="30"/>
  <c r="BA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K22" i="29"/>
  <c r="AE33" i="29"/>
  <c r="T240" i="31" s="1"/>
  <c r="T273" i="31" s="1"/>
  <c r="D20" i="29"/>
  <c r="D21" i="29" s="1"/>
  <c r="D7" i="29" s="1"/>
  <c r="D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Q20" i="29"/>
  <c r="Q21" i="29" s="1"/>
  <c r="Q7" i="29" s="1"/>
  <c r="Q12" i="29" s="1"/>
  <c r="R20" i="29"/>
  <c r="R21" i="29" s="1"/>
  <c r="R7" i="29" s="1"/>
  <c r="R12" i="29" s="1"/>
  <c r="T20" i="29"/>
  <c r="T21" i="29" s="1"/>
  <c r="T7" i="29" s="1"/>
  <c r="T12" i="29" s="1"/>
  <c r="U20" i="29"/>
  <c r="U21" i="29" s="1"/>
  <c r="U7" i="29" s="1"/>
  <c r="U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Z164" i="28" l="1"/>
  <c r="Y164" i="28"/>
  <c r="X164" i="28"/>
  <c r="T164" i="28"/>
  <c r="Z164" i="31"/>
  <c r="Y164" i="31"/>
  <c r="X164" i="31"/>
  <c r="AA164" i="31" s="1"/>
  <c r="T164" i="31"/>
  <c r="AF164" i="31" s="1"/>
  <c r="Z166" i="31"/>
  <c r="Y166" i="31"/>
  <c r="X166" i="31"/>
  <c r="T166" i="31"/>
  <c r="Y166" i="28"/>
  <c r="X166" i="28"/>
  <c r="AA166" i="28" s="1"/>
  <c r="T166" i="28"/>
  <c r="AI166" i="28" s="1"/>
  <c r="Z166" i="28"/>
  <c r="AC166" i="28" s="1"/>
  <c r="Z165" i="31"/>
  <c r="Y165" i="31"/>
  <c r="X165" i="31"/>
  <c r="AA165" i="31" s="1"/>
  <c r="T165" i="31"/>
  <c r="AF165" i="31" s="1"/>
  <c r="X165" i="28"/>
  <c r="AA165" i="28" s="1"/>
  <c r="Z165" i="28"/>
  <c r="AC165" i="28" s="1"/>
  <c r="Y165" i="28"/>
  <c r="AB165" i="28" s="1"/>
  <c r="T165" i="28"/>
  <c r="W165" i="28" s="1"/>
  <c r="Z167" i="31"/>
  <c r="Y167" i="31"/>
  <c r="X167" i="31"/>
  <c r="T167" i="31"/>
  <c r="Y167" i="28"/>
  <c r="AB167" i="28" s="1"/>
  <c r="X167" i="28"/>
  <c r="AA167" i="28" s="1"/>
  <c r="Z167" i="28"/>
  <c r="AC167" i="28" s="1"/>
  <c r="T167" i="28"/>
  <c r="V167" i="28" s="1"/>
  <c r="Z186" i="31"/>
  <c r="T186" i="31"/>
  <c r="Y186" i="31"/>
  <c r="X186" i="31"/>
  <c r="T186" i="28"/>
  <c r="Z186" i="28"/>
  <c r="AC186" i="28" s="1"/>
  <c r="Y186" i="28"/>
  <c r="AB186" i="28" s="1"/>
  <c r="X186" i="28"/>
  <c r="AA186" i="28" s="1"/>
  <c r="Z208" i="31"/>
  <c r="Y208" i="31"/>
  <c r="AB208" i="31" s="1"/>
  <c r="T208" i="31"/>
  <c r="X208" i="31"/>
  <c r="AW71" i="31"/>
  <c r="X20" i="29"/>
  <c r="X21" i="29" s="1"/>
  <c r="X7" i="29" s="1"/>
  <c r="X12" i="29" s="1"/>
  <c r="AC129" i="32"/>
  <c r="BE70" i="31"/>
  <c r="AA138" i="32"/>
  <c r="M129" i="32"/>
  <c r="P20" i="29"/>
  <c r="P21" i="29" s="1"/>
  <c r="P7" i="29" s="1"/>
  <c r="P12" i="29" s="1"/>
  <c r="U129" i="32"/>
  <c r="C71" i="29"/>
  <c r="K71" i="29"/>
  <c r="S71" i="29"/>
  <c r="AZ64" i="30"/>
  <c r="AZ110" i="30" s="1"/>
  <c r="BP64" i="30"/>
  <c r="BP110" i="30" s="1"/>
  <c r="D24" i="32"/>
  <c r="D38" i="32"/>
  <c r="D23" i="32"/>
  <c r="T169" i="28"/>
  <c r="W169" i="28" s="1"/>
  <c r="Y169" i="28"/>
  <c r="AB169" i="28" s="1"/>
  <c r="Z169" i="28"/>
  <c r="AC169" i="28" s="1"/>
  <c r="X169" i="28"/>
  <c r="AA169" i="28" s="1"/>
  <c r="Z169" i="31"/>
  <c r="AC169" i="31" s="1"/>
  <c r="Y169" i="31"/>
  <c r="X169" i="31"/>
  <c r="AA169" i="31" s="1"/>
  <c r="T169" i="31"/>
  <c r="X209" i="31"/>
  <c r="AA209" i="31" s="1"/>
  <c r="T209" i="31"/>
  <c r="Z209" i="31"/>
  <c r="AC209" i="31" s="1"/>
  <c r="Y209" i="31"/>
  <c r="AB209" i="31" s="1"/>
  <c r="AZ71" i="31"/>
  <c r="M20" i="29"/>
  <c r="M21" i="29" s="1"/>
  <c r="M7" i="29" s="1"/>
  <c r="M12" i="29" s="1"/>
  <c r="BB72" i="31"/>
  <c r="AC134" i="32"/>
  <c r="U71" i="29"/>
  <c r="BB73" i="31"/>
  <c r="AZ72" i="31"/>
  <c r="D61" i="32"/>
  <c r="BO30" i="30"/>
  <c r="BM28" i="30"/>
  <c r="BJ30" i="30"/>
  <c r="BK28" i="30"/>
  <c r="BE89" i="32"/>
  <c r="BF30" i="30"/>
  <c r="BF28" i="30"/>
  <c r="BQ90" i="32"/>
  <c r="CY89" i="32"/>
  <c r="AZ89" i="32"/>
  <c r="BE30" i="30"/>
  <c r="BB28" i="30"/>
  <c r="BB73" i="30" s="1"/>
  <c r="BA30" i="30"/>
  <c r="AW28" i="30"/>
  <c r="AZ90" i="32"/>
  <c r="CI89" i="32"/>
  <c r="AV90" i="32"/>
  <c r="CE89" i="32"/>
  <c r="BK27" i="30"/>
  <c r="D59" i="32"/>
  <c r="D54" i="32"/>
  <c r="D53" i="32"/>
  <c r="D51" i="32"/>
  <c r="D280" i="32"/>
  <c r="D52" i="32"/>
  <c r="D16" i="30"/>
  <c r="F86" i="30"/>
  <c r="C279" i="32" s="1"/>
  <c r="D18" i="32"/>
  <c r="D20" i="32"/>
  <c r="D19" i="32"/>
  <c r="D1" i="32"/>
  <c r="Z191" i="31"/>
  <c r="AC191" i="31" s="1"/>
  <c r="Y191" i="3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AJ191" i="28" s="1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AF189" i="31" s="1"/>
  <c r="X189" i="28"/>
  <c r="AA189" i="28" s="1"/>
  <c r="T189" i="28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X188" i="28"/>
  <c r="AA188" i="28" s="1"/>
  <c r="T188" i="28"/>
  <c r="Z187" i="31"/>
  <c r="Y187" i="31"/>
  <c r="AB187" i="31" s="1"/>
  <c r="X187" i="31"/>
  <c r="AA187" i="31" s="1"/>
  <c r="T187" i="31"/>
  <c r="AJ187" i="31" s="1"/>
  <c r="Z168" i="31"/>
  <c r="AC168" i="31" s="1"/>
  <c r="Y168" i="31"/>
  <c r="T168" i="31"/>
  <c r="X168" i="31"/>
  <c r="Z168" i="28"/>
  <c r="AC168" i="28" s="1"/>
  <c r="Y168" i="28"/>
  <c r="AB168" i="28" s="1"/>
  <c r="T168" i="28"/>
  <c r="V168" i="28" s="1"/>
  <c r="X168" i="28"/>
  <c r="AA168" i="28" s="1"/>
  <c r="T190" i="31"/>
  <c r="Z190" i="31"/>
  <c r="Y190" i="31"/>
  <c r="X190" i="31"/>
  <c r="X190" i="28"/>
  <c r="T190" i="28"/>
  <c r="Z190" i="28"/>
  <c r="AC190" i="28" s="1"/>
  <c r="Y190" i="28"/>
  <c r="AB190" i="28" s="1"/>
  <c r="V189" i="28"/>
  <c r="AB188" i="28"/>
  <c r="AC165" i="31"/>
  <c r="AC164" i="31"/>
  <c r="AB164" i="28"/>
  <c r="AA164" i="28"/>
  <c r="V164" i="28"/>
  <c r="AB166" i="28"/>
  <c r="AC186" i="31"/>
  <c r="AC208" i="31"/>
  <c r="AE208" i="31" s="1"/>
  <c r="AF208" i="31"/>
  <c r="AA208" i="31"/>
  <c r="U209" i="31"/>
  <c r="AC210" i="31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C186" i="32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G106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M111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C143" i="32"/>
  <c r="AI173" i="31"/>
  <c r="W173" i="31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F16" i="30"/>
  <c r="T247" i="31" s="1"/>
  <c r="X247" i="31" s="1"/>
  <c r="AF191" i="3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BQ107" i="31"/>
  <c r="BK104" i="31"/>
  <c r="AD196" i="28"/>
  <c r="AH196" i="28" s="1"/>
  <c r="AO107" i="31"/>
  <c r="BR91" i="31"/>
  <c r="BQ93" i="31"/>
  <c r="BA93" i="31"/>
  <c r="AL93" i="31"/>
  <c r="BV89" i="31"/>
  <c r="BF89" i="31"/>
  <c r="AP89" i="31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I191" i="3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07" i="30"/>
  <c r="B124" i="30" s="1"/>
  <c r="AF227" i="31"/>
  <c r="W227" i="31"/>
  <c r="AJ211" i="31"/>
  <c r="U178" i="31"/>
  <c r="AJ178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J191" i="31"/>
  <c r="AD177" i="31"/>
  <c r="AH177" i="31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K106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I106" i="30" s="1"/>
  <c r="BC26" i="30"/>
  <c r="AX26" i="30"/>
  <c r="AX71" i="30" s="1"/>
  <c r="BB60" i="30"/>
  <c r="BB106" i="30" s="1"/>
  <c r="BM60" i="30"/>
  <c r="BM106" i="30" s="1"/>
  <c r="BR87" i="32"/>
  <c r="BN87" i="32"/>
  <c r="BJ87" i="32"/>
  <c r="BF87" i="32"/>
  <c r="BB87" i="32"/>
  <c r="F20" i="30"/>
  <c r="C254" i="32" s="1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88" i="28"/>
  <c r="AF188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92" i="28"/>
  <c r="AF192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BH111" i="30" s="1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BP106" i="30" s="1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106" i="30" s="1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W191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92" i="28"/>
  <c r="AA190" i="28"/>
  <c r="V188" i="28"/>
  <c r="AC187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G192" i="28"/>
  <c r="U192" i="28"/>
  <c r="AG188" i="28"/>
  <c r="U188" i="28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92" i="28"/>
  <c r="AI188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S5" i="29"/>
  <c r="S9" i="29" s="1"/>
  <c r="S4" i="29"/>
  <c r="S3" i="29"/>
  <c r="O5" i="29"/>
  <c r="O9" i="29" s="1"/>
  <c r="O4" i="29"/>
  <c r="O3" i="29"/>
  <c r="K5" i="29"/>
  <c r="K9" i="29" s="1"/>
  <c r="K4" i="29"/>
  <c r="K3" i="29"/>
  <c r="O72" i="30" s="1"/>
  <c r="G5" i="29"/>
  <c r="G9" i="29" s="1"/>
  <c r="G4" i="29"/>
  <c r="G3" i="29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5" i="29"/>
  <c r="R9" i="29" s="1"/>
  <c r="N4" i="29"/>
  <c r="N3" i="29"/>
  <c r="N5" i="29"/>
  <c r="N9" i="29" s="1"/>
  <c r="J4" i="29"/>
  <c r="J3" i="29"/>
  <c r="J5" i="29"/>
  <c r="J9" i="29" s="1"/>
  <c r="F4" i="29"/>
  <c r="F3" i="29"/>
  <c r="F5" i="29"/>
  <c r="F9" i="29" s="1"/>
  <c r="E19" i="29"/>
  <c r="T47" i="29"/>
  <c r="P47" i="29"/>
  <c r="L47" i="29"/>
  <c r="H47" i="29"/>
  <c r="D47" i="29"/>
  <c r="Y26" i="29"/>
  <c r="U26" i="29"/>
  <c r="Q26" i="29"/>
  <c r="M26" i="29"/>
  <c r="I26" i="29"/>
  <c r="E26" i="29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9" i="29" s="1"/>
  <c r="Q4" i="29"/>
  <c r="M3" i="29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T5" i="29"/>
  <c r="T9" i="29" s="1"/>
  <c r="T4" i="29"/>
  <c r="T3" i="29"/>
  <c r="P5" i="29"/>
  <c r="P9" i="29" s="1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S12" i="29" s="1"/>
  <c r="O20" i="29"/>
  <c r="O21" i="29" s="1"/>
  <c r="O7" i="29" s="1"/>
  <c r="O12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3" i="30"/>
  <c r="B110" i="30" s="1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U192" i="31"/>
  <c r="AG192" i="31"/>
  <c r="V192" i="31"/>
  <c r="W192" i="31"/>
  <c r="AI192" i="31"/>
  <c r="AA190" i="31"/>
  <c r="AB190" i="31"/>
  <c r="AC187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J192" i="31"/>
  <c r="AB191" i="31"/>
  <c r="AC190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J166" i="31"/>
  <c r="C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V189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Z106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V191" i="3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AA168" i="31"/>
  <c r="AB168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91" i="31"/>
  <c r="AG187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G178" i="31"/>
  <c r="AG177" i="31"/>
  <c r="AG176" i="31"/>
  <c r="AI170" i="31"/>
  <c r="AB170" i="3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AD192" i="31" l="1"/>
  <c r="AH192" i="31" s="1"/>
  <c r="AD192" i="28"/>
  <c r="AH192" i="28" s="1"/>
  <c r="AE191" i="31"/>
  <c r="AD169" i="28"/>
  <c r="AJ169" i="28" s="1"/>
  <c r="AE191" i="28"/>
  <c r="AD209" i="31"/>
  <c r="AH209" i="31" s="1"/>
  <c r="AD169" i="31"/>
  <c r="AJ169" i="31" s="1"/>
  <c r="AE209" i="31"/>
  <c r="L17" i="29"/>
  <c r="U165" i="31"/>
  <c r="AE165" i="31"/>
  <c r="W165" i="31"/>
  <c r="V165" i="31"/>
  <c r="AE164" i="31"/>
  <c r="AI164" i="31"/>
  <c r="AG164" i="31"/>
  <c r="V164" i="31"/>
  <c r="W164" i="31"/>
  <c r="U164" i="31"/>
  <c r="AD165" i="28"/>
  <c r="AJ165" i="28" s="1"/>
  <c r="U167" i="28"/>
  <c r="AG167" i="28"/>
  <c r="AF167" i="28"/>
  <c r="W167" i="28"/>
  <c r="AE169" i="28"/>
  <c r="U165" i="28"/>
  <c r="AE165" i="28"/>
  <c r="AG165" i="28"/>
  <c r="V165" i="28"/>
  <c r="AD165" i="31"/>
  <c r="AJ165" i="31" s="1"/>
  <c r="AF165" i="28"/>
  <c r="AI165" i="28"/>
  <c r="AH165" i="28"/>
  <c r="AI169" i="28"/>
  <c r="U169" i="28"/>
  <c r="AH169" i="28"/>
  <c r="AG169" i="28"/>
  <c r="V169" i="28"/>
  <c r="AF169" i="28"/>
  <c r="J72" i="30"/>
  <c r="Q72" i="30"/>
  <c r="C41" i="32"/>
  <c r="P72" i="30"/>
  <c r="Y8" i="29"/>
  <c r="AC72" i="30"/>
  <c r="R8" i="29"/>
  <c r="V72" i="30"/>
  <c r="K72" i="30"/>
  <c r="G8" i="29"/>
  <c r="X8" i="29"/>
  <c r="AB72" i="30"/>
  <c r="E8" i="29"/>
  <c r="I72" i="30"/>
  <c r="S8" i="29"/>
  <c r="W72" i="30"/>
  <c r="H72" i="30"/>
  <c r="D8" i="29"/>
  <c r="D201" i="29" s="1"/>
  <c r="Q8" i="29"/>
  <c r="U72" i="30"/>
  <c r="N72" i="30"/>
  <c r="P8" i="29"/>
  <c r="T72" i="30"/>
  <c r="Z72" i="30"/>
  <c r="V8" i="29"/>
  <c r="M72" i="30"/>
  <c r="AA72" i="30"/>
  <c r="W8" i="29"/>
  <c r="W201" i="29" s="1"/>
  <c r="L72" i="30"/>
  <c r="H8" i="29"/>
  <c r="Y72" i="30"/>
  <c r="U8" i="29"/>
  <c r="R72" i="30"/>
  <c r="N8" i="29"/>
  <c r="C8" i="29"/>
  <c r="G72" i="30"/>
  <c r="X72" i="30"/>
  <c r="T8" i="29"/>
  <c r="T201" i="29" s="1"/>
  <c r="Z8" i="29"/>
  <c r="AD72" i="30"/>
  <c r="S72" i="30"/>
  <c r="O8" i="29"/>
  <c r="E16" i="29"/>
  <c r="D279" i="32"/>
  <c r="B116" i="30"/>
  <c r="D234" i="32"/>
  <c r="D190" i="32"/>
  <c r="AK190" i="32" s="1"/>
  <c r="AO190" i="32" s="1"/>
  <c r="D186" i="32"/>
  <c r="AJ217" i="32" s="1"/>
  <c r="AN217" i="32" s="1"/>
  <c r="AG165" i="31"/>
  <c r="V187" i="31"/>
  <c r="AI189" i="31"/>
  <c r="AF191" i="28"/>
  <c r="W187" i="31"/>
  <c r="W189" i="31"/>
  <c r="AE187" i="31"/>
  <c r="AI191" i="28"/>
  <c r="U187" i="31"/>
  <c r="W191" i="28"/>
  <c r="V191" i="28"/>
  <c r="U189" i="31"/>
  <c r="AG189" i="31"/>
  <c r="AG191" i="28"/>
  <c r="AE189" i="31"/>
  <c r="U191" i="28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7" i="29"/>
  <c r="J8" i="29"/>
  <c r="I8" i="29"/>
  <c r="K8" i="29"/>
  <c r="K201" i="29" s="1"/>
  <c r="D122" i="32"/>
  <c r="D116" i="32"/>
  <c r="D113" i="32"/>
  <c r="D119" i="32"/>
  <c r="L8" i="29"/>
  <c r="D182" i="32"/>
  <c r="AJ215" i="32" s="1"/>
  <c r="AN215" i="32" s="1"/>
  <c r="M8" i="29"/>
  <c r="AD190" i="28"/>
  <c r="AH190" i="28" s="1"/>
  <c r="AD210" i="31"/>
  <c r="AH210" i="31" s="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J167" i="28" s="1"/>
  <c r="AE167" i="28"/>
  <c r="AF164" i="28"/>
  <c r="AI164" i="28"/>
  <c r="AG164" i="28"/>
  <c r="W164" i="28"/>
  <c r="T16" i="29"/>
  <c r="AF187" i="28"/>
  <c r="AF187" i="31"/>
  <c r="AD186" i="31"/>
  <c r="AI186" i="31" s="1"/>
  <c r="U17" i="29"/>
  <c r="Z16" i="29"/>
  <c r="AD178" i="31"/>
  <c r="AH178" i="31" s="1"/>
  <c r="AK191" i="32"/>
  <c r="AO191" i="32" s="1"/>
  <c r="C251" i="32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Y6" i="29" s="1"/>
  <c r="Y10" i="29" s="1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U6" i="29" s="1"/>
  <c r="U10" i="29" s="1"/>
  <c r="N41" i="29"/>
  <c r="N42" i="29" s="1"/>
  <c r="N28" i="29" s="1"/>
  <c r="AZ61" i="30"/>
  <c r="AZ107" i="30" s="1"/>
  <c r="CU84" i="30"/>
  <c r="CU82" i="30"/>
  <c r="BH60" i="30"/>
  <c r="BH106" i="30" s="1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4" i="30" s="1"/>
  <c r="CJ81" i="30"/>
  <c r="BQ72" i="30"/>
  <c r="BQ82" i="30" s="1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84" i="30" s="1"/>
  <c r="BC63" i="30"/>
  <c r="BC109" i="30" s="1"/>
  <c r="BN63" i="30"/>
  <c r="BN109" i="30" s="1"/>
  <c r="BN74" i="30"/>
  <c r="AX63" i="30"/>
  <c r="AX109" i="30" s="1"/>
  <c r="AX74" i="30"/>
  <c r="AX82" i="30" s="1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R61" i="30"/>
  <c r="BR107" i="30" s="1"/>
  <c r="BR72" i="30"/>
  <c r="AV72" i="30"/>
  <c r="AV82" i="30" s="1"/>
  <c r="AY61" i="30"/>
  <c r="AY107" i="30" s="1"/>
  <c r="AY72" i="30"/>
  <c r="AW61" i="30"/>
  <c r="AW107" i="30" s="1"/>
  <c r="AW72" i="30"/>
  <c r="AW81" i="30" s="1"/>
  <c r="AW85" i="30" s="1"/>
  <c r="BD61" i="30"/>
  <c r="BD107" i="30" s="1"/>
  <c r="BN61" i="30"/>
  <c r="BN107" i="30" s="1"/>
  <c r="BN72" i="30"/>
  <c r="AX61" i="30"/>
  <c r="AX107" i="30" s="1"/>
  <c r="AX72" i="30"/>
  <c r="BB84" i="30"/>
  <c r="BP72" i="30"/>
  <c r="BF61" i="30"/>
  <c r="BF107" i="30" s="1"/>
  <c r="BO72" i="30"/>
  <c r="BO61" i="30"/>
  <c r="BO107" i="30" s="1"/>
  <c r="BB61" i="30"/>
  <c r="BB107" i="30" s="1"/>
  <c r="BE61" i="30"/>
  <c r="BE107" i="30" s="1"/>
  <c r="BA60" i="30"/>
  <c r="BA106" i="30" s="1"/>
  <c r="BA71" i="30"/>
  <c r="AY60" i="30"/>
  <c r="AY106" i="30" s="1"/>
  <c r="AY71" i="30"/>
  <c r="BC60" i="30"/>
  <c r="BC106" i="30" s="1"/>
  <c r="BC71" i="30"/>
  <c r="AZ71" i="30"/>
  <c r="AZ81" i="30" s="1"/>
  <c r="BH82" i="30"/>
  <c r="BL60" i="30"/>
  <c r="BL106" i="30" s="1"/>
  <c r="BN71" i="30"/>
  <c r="BN60" i="30"/>
  <c r="BN106" i="30" s="1"/>
  <c r="BE60" i="30"/>
  <c r="BE106" i="30" s="1"/>
  <c r="BE71" i="30"/>
  <c r="BE84" i="30" s="1"/>
  <c r="BJ60" i="30"/>
  <c r="BJ106" i="30" s="1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DK81" i="30"/>
  <c r="CK81" i="30"/>
  <c r="EA81" i="30"/>
  <c r="DL84" i="30"/>
  <c r="BL3" i="29"/>
  <c r="BK83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AV81" i="30"/>
  <c r="AV84" i="30"/>
  <c r="AV83" i="30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DT117" i="30"/>
  <c r="V7" i="30" s="1"/>
  <c r="BR81" i="30"/>
  <c r="BR85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V39" i="29"/>
  <c r="AD19" i="29"/>
  <c r="AF19" i="29" s="1"/>
  <c r="AK20" i="29" s="1"/>
  <c r="C53" i="29"/>
  <c r="C55" i="29" s="1"/>
  <c r="X34" i="28"/>
  <c r="K35" i="28" s="1"/>
  <c r="C91" i="32" s="1"/>
  <c r="BG81" i="30"/>
  <c r="CI117" i="30"/>
  <c r="N6" i="30" s="1"/>
  <c r="BI81" i="30"/>
  <c r="BL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BC82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U167" i="31"/>
  <c r="AG167" i="31"/>
  <c r="V167" i="31"/>
  <c r="W167" i="31"/>
  <c r="AE167" i="31"/>
  <c r="AF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01" i="29"/>
  <c r="G2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L201" i="29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C2" i="29"/>
  <c r="S201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J167" i="31" l="1"/>
  <c r="AJ186" i="31"/>
  <c r="BQ81" i="30"/>
  <c r="BQ85" i="30" s="1"/>
  <c r="BQ86" i="30" s="1"/>
  <c r="X18" i="29"/>
  <c r="X22" i="29" s="1"/>
  <c r="AZ83" i="30"/>
  <c r="AZ82" i="30"/>
  <c r="U181" i="29"/>
  <c r="U196" i="29" s="1"/>
  <c r="Y76" i="30" s="1"/>
  <c r="BK82" i="30"/>
  <c r="Y181" i="29"/>
  <c r="Y196" i="29" s="1"/>
  <c r="AC76" i="30" s="1"/>
  <c r="E18" i="29"/>
  <c r="D251" i="32"/>
  <c r="D41" i="32"/>
  <c r="AK231" i="32"/>
  <c r="AO231" i="32" s="1"/>
  <c r="AR231" i="32" s="1"/>
  <c r="AS231" i="32" s="1"/>
  <c r="AT231" i="32" s="1"/>
  <c r="AW231" i="32" s="1"/>
  <c r="AK224" i="32"/>
  <c r="AO224" i="32" s="1"/>
  <c r="F72" i="30"/>
  <c r="B109" i="30" s="1"/>
  <c r="B112" i="30" s="1"/>
  <c r="BP81" i="30"/>
  <c r="BP85" i="30" s="1"/>
  <c r="BM81" i="30"/>
  <c r="BA81" i="30"/>
  <c r="F181" i="29"/>
  <c r="F196" i="29" s="1"/>
  <c r="J76" i="30" s="1"/>
  <c r="AW87" i="30"/>
  <c r="AW86" i="30"/>
  <c r="BM83" i="30"/>
  <c r="AW83" i="30"/>
  <c r="BN82" i="30"/>
  <c r="AW84" i="30"/>
  <c r="AW82" i="30"/>
  <c r="BR87" i="30"/>
  <c r="BR86" i="30"/>
  <c r="B52" i="30"/>
  <c r="C52" i="30" s="1"/>
  <c r="AH189" i="28"/>
  <c r="AI167" i="31"/>
  <c r="AJ168" i="31"/>
  <c r="D136" i="32"/>
  <c r="D133" i="32"/>
  <c r="D106" i="32"/>
  <c r="D129" i="32"/>
  <c r="D125" i="32"/>
  <c r="D102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BR82" i="30"/>
  <c r="BC83" i="30"/>
  <c r="AX81" i="30"/>
  <c r="AX85" i="30" s="1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180" i="29" s="1"/>
  <c r="N195" i="29" s="1"/>
  <c r="R75" i="30" s="1"/>
  <c r="N202" i="29"/>
  <c r="N213" i="29" s="1"/>
  <c r="R18" i="29"/>
  <c r="R22" i="29" s="1"/>
  <c r="U202" i="29"/>
  <c r="U213" i="29" s="1"/>
  <c r="U18" i="29"/>
  <c r="U22" i="29" s="1"/>
  <c r="DK85" i="30"/>
  <c r="BM84" i="30"/>
  <c r="BK81" i="30"/>
  <c r="BK85" i="30" s="1"/>
  <c r="AZ84" i="30"/>
  <c r="DJ85" i="30"/>
  <c r="BP84" i="30"/>
  <c r="V43" i="29"/>
  <c r="BR84" i="30"/>
  <c r="AX84" i="30"/>
  <c r="BC81" i="30"/>
  <c r="BC85" i="30" s="1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V180" i="29" s="1"/>
  <c r="V195" i="29" s="1"/>
  <c r="Z75" i="30" s="1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P117" i="30"/>
  <c r="AA5" i="30" s="1"/>
  <c r="M34" i="29"/>
  <c r="E34" i="29"/>
  <c r="BG83" i="30"/>
  <c r="CP102" i="30"/>
  <c r="U10" i="30" s="1"/>
  <c r="BG82" i="30"/>
  <c r="EB85" i="30"/>
  <c r="Q18" i="29"/>
  <c r="Q180" i="29" s="1"/>
  <c r="Q195" i="29" s="1"/>
  <c r="U75" i="30" s="1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Q6" i="29" s="1"/>
  <c r="AY117" i="30"/>
  <c r="J5" i="30" s="1"/>
  <c r="BB117" i="30"/>
  <c r="M5" i="30" s="1"/>
  <c r="P18" i="29"/>
  <c r="P22" i="29" s="1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5" i="29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BI85" i="30"/>
  <c r="BO81" i="30"/>
  <c r="BO85" i="30" s="1"/>
  <c r="BS84" i="30"/>
  <c r="AX117" i="30"/>
  <c r="I5" i="30" s="1"/>
  <c r="BR83" i="30"/>
  <c r="BP82" i="30"/>
  <c r="BF85" i="30"/>
  <c r="BM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AF228" i="28"/>
  <c r="H180" i="29"/>
  <c r="H195" i="29" s="1"/>
  <c r="L75" i="30" s="1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CD85" i="30"/>
  <c r="CK85" i="30"/>
  <c r="I18" i="29"/>
  <c r="X60" i="29"/>
  <c r="X64" i="29" s="1"/>
  <c r="Z55" i="29"/>
  <c r="O201" i="29"/>
  <c r="W18" i="29"/>
  <c r="G18" i="29"/>
  <c r="K39" i="29"/>
  <c r="K43" i="29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AG228" i="28"/>
  <c r="U60" i="29"/>
  <c r="D39" i="29"/>
  <c r="D43" i="29" s="1"/>
  <c r="S6" i="29"/>
  <c r="S10" i="29" s="1"/>
  <c r="S181" i="29"/>
  <c r="S196" i="29" s="1"/>
  <c r="W76" i="30" s="1"/>
  <c r="G39" i="29"/>
  <c r="W212" i="29"/>
  <c r="F201" i="29"/>
  <c r="T6" i="29"/>
  <c r="T10" i="29" s="1"/>
  <c r="T181" i="29"/>
  <c r="T196" i="29" s="1"/>
  <c r="X76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C138" i="31"/>
  <c r="J138" i="31" s="1"/>
  <c r="M39" i="29"/>
  <c r="M43" i="29" s="1"/>
  <c r="F60" i="29"/>
  <c r="F64" i="29" s="1"/>
  <c r="T18" i="29"/>
  <c r="Q34" i="29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AD228" i="31"/>
  <c r="AO165" i="28"/>
  <c r="AD228" i="28"/>
  <c r="K41" i="28" s="1"/>
  <c r="B54" i="30" s="1"/>
  <c r="C54" i="30" s="1"/>
  <c r="AH164" i="28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Q87" i="30" l="1"/>
  <c r="BQ102" i="30" s="1"/>
  <c r="AB9" i="30" s="1"/>
  <c r="V22" i="29"/>
  <c r="X180" i="29"/>
  <c r="X195" i="29" s="1"/>
  <c r="AB75" i="30" s="1"/>
  <c r="AB77" i="30" s="1"/>
  <c r="AW102" i="30"/>
  <c r="H9" i="30" s="1"/>
  <c r="AI228" i="31"/>
  <c r="C133" i="31" s="1"/>
  <c r="J133" i="31" s="1"/>
  <c r="R180" i="29"/>
  <c r="R195" i="29" s="1"/>
  <c r="V75" i="30" s="1"/>
  <c r="V77" i="30" s="1"/>
  <c r="N22" i="29"/>
  <c r="C191" i="32"/>
  <c r="M180" i="29"/>
  <c r="M195" i="29" s="1"/>
  <c r="Q75" i="30" s="1"/>
  <c r="Q77" i="30" s="1"/>
  <c r="P180" i="29"/>
  <c r="P195" i="29" s="1"/>
  <c r="T75" i="30" s="1"/>
  <c r="T77" i="30" s="1"/>
  <c r="U180" i="29"/>
  <c r="U195" i="29" s="1"/>
  <c r="Y75" i="30" s="1"/>
  <c r="Y77" i="30" s="1"/>
  <c r="BL87" i="30"/>
  <c r="BL86" i="30"/>
  <c r="BC87" i="30"/>
  <c r="BC86" i="30"/>
  <c r="BB87" i="30"/>
  <c r="BB86" i="30"/>
  <c r="AZ87" i="30"/>
  <c r="AZ86" i="30"/>
  <c r="BH86" i="30"/>
  <c r="BH87" i="30"/>
  <c r="BO86" i="30"/>
  <c r="BO87" i="30"/>
  <c r="AX87" i="30"/>
  <c r="AX86" i="30"/>
  <c r="AV87" i="30"/>
  <c r="AV86" i="30"/>
  <c r="BD87" i="30"/>
  <c r="BD86" i="30"/>
  <c r="BM86" i="30"/>
  <c r="BM87" i="30"/>
  <c r="BI86" i="30"/>
  <c r="BI102" i="30" s="1"/>
  <c r="T9" i="30" s="1"/>
  <c r="BI87" i="30"/>
  <c r="BF87" i="30"/>
  <c r="BF86" i="30"/>
  <c r="BP87" i="30"/>
  <c r="BP86" i="30"/>
  <c r="BK87" i="30"/>
  <c r="BK86" i="30"/>
  <c r="BS86" i="30"/>
  <c r="BS87" i="30"/>
  <c r="C304" i="32"/>
  <c r="AQ3" i="29"/>
  <c r="C305" i="32"/>
  <c r="K48" i="28"/>
  <c r="B154" i="31" s="1"/>
  <c r="J154" i="31" s="1"/>
  <c r="C227" i="32" s="1"/>
  <c r="AJ228" i="31"/>
  <c r="C134" i="31" s="1"/>
  <c r="J134" i="31" s="1"/>
  <c r="D105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W202" i="29"/>
  <c r="W213" i="29" s="1"/>
  <c r="W214" i="29" s="1"/>
  <c r="I77" i="30"/>
  <c r="P202" i="29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Q11" i="29"/>
  <c r="Q13" i="29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N85" i="30"/>
  <c r="BE85" i="30"/>
  <c r="AY85" i="30"/>
  <c r="BJ85" i="30"/>
  <c r="BA85" i="30"/>
  <c r="Z77" i="30"/>
  <c r="DR102" i="30"/>
  <c r="T11" i="30" s="1"/>
  <c r="CC102" i="30"/>
  <c r="H10" i="30" s="1"/>
  <c r="H13" i="30" s="1"/>
  <c r="CJ102" i="30"/>
  <c r="O10" i="30" s="1"/>
  <c r="DH102" i="30"/>
  <c r="J11" i="30" s="1"/>
  <c r="DX102" i="30"/>
  <c r="Z11" i="30" s="1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F50" i="30"/>
  <c r="C74" i="32"/>
  <c r="F52" i="30"/>
  <c r="C264" i="32" s="1"/>
  <c r="F51" i="30"/>
  <c r="C263" i="32" s="1"/>
  <c r="O253" i="32"/>
  <c r="B42" i="31"/>
  <c r="Z38" i="31"/>
  <c r="Z39" i="31" s="1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BC102" i="30" l="1"/>
  <c r="N9" i="30" s="1"/>
  <c r="BB102" i="30"/>
  <c r="M9" i="30" s="1"/>
  <c r="BF102" i="30"/>
  <c r="Q9" i="30" s="1"/>
  <c r="BH102" i="30"/>
  <c r="S9" i="30" s="1"/>
  <c r="S13" i="30" s="1"/>
  <c r="BM102" i="30"/>
  <c r="X9" i="30" s="1"/>
  <c r="B149" i="31"/>
  <c r="J149" i="31" s="1"/>
  <c r="C222" i="32" s="1"/>
  <c r="B155" i="31"/>
  <c r="I155" i="31" s="1"/>
  <c r="C275" i="32"/>
  <c r="D191" i="32"/>
  <c r="AD31" i="29"/>
  <c r="T236" i="31" s="1"/>
  <c r="T235" i="31"/>
  <c r="AY86" i="30"/>
  <c r="AY87" i="30"/>
  <c r="BE87" i="30"/>
  <c r="BE86" i="30"/>
  <c r="BN87" i="30"/>
  <c r="BN86" i="30"/>
  <c r="BG86" i="30"/>
  <c r="BG87" i="30"/>
  <c r="BA86" i="30"/>
  <c r="BA87" i="30"/>
  <c r="BJ87" i="30"/>
  <c r="BJ86" i="30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Q13" i="30"/>
  <c r="M13" i="30"/>
  <c r="T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D262" i="32"/>
  <c r="C97" i="32"/>
  <c r="B44" i="31"/>
  <c r="J44" i="31" s="1"/>
  <c r="C208" i="32" s="1"/>
  <c r="J42" i="31"/>
  <c r="X13" i="30" l="1"/>
  <c r="D275" i="32"/>
  <c r="T274" i="31"/>
  <c r="X274" i="31" s="1"/>
  <c r="C187" i="32"/>
  <c r="X235" i="31"/>
  <c r="X236" i="31"/>
  <c r="C309" i="32" s="1"/>
  <c r="T275" i="31"/>
  <c r="X275" i="31" s="1"/>
  <c r="C188" i="32"/>
  <c r="S203" i="29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82" i="32"/>
  <c r="D188" i="32" l="1"/>
  <c r="C308" i="32"/>
  <c r="D187" i="32"/>
  <c r="AJ8" i="29"/>
  <c r="D222" i="32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81" i="30" l="1"/>
  <c r="F81" i="30" s="1"/>
  <c r="B114" i="30" s="1"/>
  <c r="F76" i="30"/>
  <c r="T245" i="31"/>
  <c r="F75" i="30"/>
  <c r="F77" i="30"/>
  <c r="B129" i="30" s="1"/>
  <c r="AJ218" i="32"/>
  <c r="AN218" i="32" s="1"/>
  <c r="AK226" i="32"/>
  <c r="AO226" i="32" s="1"/>
  <c r="AK227" i="32"/>
  <c r="AO227" i="32" s="1"/>
  <c r="AJ219" i="32"/>
  <c r="AN219" i="32" s="1"/>
  <c r="C289" i="32"/>
  <c r="V265" i="31"/>
  <c r="V263" i="31" s="1"/>
  <c r="J46" i="31" s="1"/>
  <c r="C210" i="32" s="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N67" i="32"/>
  <c r="BJ67" i="32"/>
  <c r="BJ78" i="32" s="1"/>
  <c r="BF67" i="32"/>
  <c r="BB67" i="32"/>
  <c r="AX67" i="32"/>
  <c r="BR66" i="32"/>
  <c r="BR153" i="32" s="1"/>
  <c r="BN66" i="32"/>
  <c r="BN153" i="32" s="1"/>
  <c r="BJ66" i="32"/>
  <c r="BF66" i="32"/>
  <c r="BF153" i="32" s="1"/>
  <c r="BB66" i="32"/>
  <c r="BB153" i="32" s="1"/>
  <c r="AX66" i="32"/>
  <c r="AX153" i="32" s="1"/>
  <c r="BR65" i="32"/>
  <c r="BN65" i="32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I79" i="32" s="1"/>
  <c r="BD68" i="32"/>
  <c r="BD79" i="32" s="1"/>
  <c r="AY68" i="32"/>
  <c r="AY79" i="32" s="1"/>
  <c r="BQ67" i="32"/>
  <c r="BL67" i="32"/>
  <c r="BL78" i="32" s="1"/>
  <c r="BG67" i="32"/>
  <c r="BG78" i="32" s="1"/>
  <c r="BA67" i="32"/>
  <c r="AV67" i="32"/>
  <c r="BO66" i="32"/>
  <c r="BO77" i="32" s="1"/>
  <c r="BI66" i="32"/>
  <c r="BD66" i="32"/>
  <c r="BD153" i="32" s="1"/>
  <c r="AY66" i="32"/>
  <c r="AY153" i="32" s="1"/>
  <c r="BQ65" i="32"/>
  <c r="BL65" i="32"/>
  <c r="BL76" i="32" s="1"/>
  <c r="BG65" i="32"/>
  <c r="BG76" i="32" s="1"/>
  <c r="BC65" i="32"/>
  <c r="AY65" i="32"/>
  <c r="BS64" i="32"/>
  <c r="BS151" i="32" s="1"/>
  <c r="BO64" i="32"/>
  <c r="BO151" i="32" s="1"/>
  <c r="BK64" i="32"/>
  <c r="BG64" i="32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H79" i="32" s="1"/>
  <c r="BC68" i="32"/>
  <c r="BC79" i="32" s="1"/>
  <c r="AW68" i="32"/>
  <c r="AW79" i="32" s="1"/>
  <c r="BP67" i="32"/>
  <c r="BK67" i="32"/>
  <c r="BK78" i="32" s="1"/>
  <c r="BE67" i="32"/>
  <c r="AZ67" i="32"/>
  <c r="BS66" i="32"/>
  <c r="BS153" i="32" s="1"/>
  <c r="BM66" i="32"/>
  <c r="BM153" i="32" s="1"/>
  <c r="BH66" i="32"/>
  <c r="BC66" i="32"/>
  <c r="BC153" i="32" s="1"/>
  <c r="AW66" i="32"/>
  <c r="AW153" i="32" s="1"/>
  <c r="BP65" i="32"/>
  <c r="BK65" i="32"/>
  <c r="BK76" i="32" s="1"/>
  <c r="BF65" i="32"/>
  <c r="BB65" i="32"/>
  <c r="AX65" i="32"/>
  <c r="BR64" i="32"/>
  <c r="BR151" i="32" s="1"/>
  <c r="BN64" i="32"/>
  <c r="BJ64" i="32"/>
  <c r="BF64" i="32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BG79" i="32" s="1"/>
  <c r="AV68" i="32"/>
  <c r="AV79" i="32" s="1"/>
  <c r="BI67" i="32"/>
  <c r="BI78" i="32" s="1"/>
  <c r="AY67" i="32"/>
  <c r="BL66" i="32"/>
  <c r="BA66" i="32"/>
  <c r="BA153" i="32" s="1"/>
  <c r="BO65" i="32"/>
  <c r="BE65" i="32"/>
  <c r="AW65" i="32"/>
  <c r="BM64" i="32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H67" i="32"/>
  <c r="BH78" i="32" s="1"/>
  <c r="AW67" i="32"/>
  <c r="BK66" i="32"/>
  <c r="AZ66" i="32"/>
  <c r="AZ153" i="32" s="1"/>
  <c r="BM65" i="32"/>
  <c r="BD65" i="32"/>
  <c r="AV65" i="32"/>
  <c r="BL64" i="32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L79" i="32" s="1"/>
  <c r="BO67" i="32"/>
  <c r="BQ66" i="32"/>
  <c r="BQ77" i="32" s="1"/>
  <c r="AV66" i="32"/>
  <c r="AV153" i="32" s="1"/>
  <c r="BA65" i="32"/>
  <c r="BI64" i="32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K79" i="32" s="1"/>
  <c r="BM67" i="32"/>
  <c r="BP66" i="32"/>
  <c r="BP77" i="32" s="1"/>
  <c r="BS65" i="32"/>
  <c r="AZ65" i="32"/>
  <c r="BH64" i="32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Q64" i="32"/>
  <c r="BQ151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AY76" i="32" l="1"/>
  <c r="AY133" i="32" s="1"/>
  <c r="AY152" i="32"/>
  <c r="BP76" i="32"/>
  <c r="BP133" i="32" s="1"/>
  <c r="BP152" i="32"/>
  <c r="BC76" i="32"/>
  <c r="BC152" i="32"/>
  <c r="BD76" i="32"/>
  <c r="BD152" i="32"/>
  <c r="BA76" i="32"/>
  <c r="BA152" i="32"/>
  <c r="AZ76" i="32"/>
  <c r="AZ152" i="32"/>
  <c r="BM76" i="32"/>
  <c r="BM152" i="32"/>
  <c r="AW76" i="32"/>
  <c r="AW152" i="32"/>
  <c r="BS76" i="32"/>
  <c r="BS152" i="32"/>
  <c r="BE76" i="32"/>
  <c r="BE152" i="32"/>
  <c r="AX76" i="32"/>
  <c r="AX152" i="32"/>
  <c r="BQ76" i="32"/>
  <c r="BQ152" i="32"/>
  <c r="BN76" i="32"/>
  <c r="BN152" i="32"/>
  <c r="AV76" i="32"/>
  <c r="AV152" i="32"/>
  <c r="BO76" i="32"/>
  <c r="BO152" i="32"/>
  <c r="BB76" i="32"/>
  <c r="BB152" i="32"/>
  <c r="BR76" i="32"/>
  <c r="BR152" i="32"/>
  <c r="BF76" i="32"/>
  <c r="BF122" i="32" s="1"/>
  <c r="BF168" i="32" s="1"/>
  <c r="BF152" i="32"/>
  <c r="BJ77" i="32"/>
  <c r="BJ153" i="32"/>
  <c r="BH77" i="32"/>
  <c r="BH153" i="32"/>
  <c r="BG77" i="32"/>
  <c r="BG134" i="32" s="1"/>
  <c r="BG153" i="32"/>
  <c r="BK77" i="32"/>
  <c r="BK123" i="32" s="1"/>
  <c r="BK169" i="32" s="1"/>
  <c r="BK153" i="32"/>
  <c r="BL77" i="32"/>
  <c r="BL153" i="32"/>
  <c r="BI77" i="32"/>
  <c r="BI153" i="32"/>
  <c r="BL75" i="32"/>
  <c r="BL121" i="32" s="1"/>
  <c r="BL167" i="32" s="1"/>
  <c r="BL151" i="32"/>
  <c r="BJ75" i="32"/>
  <c r="BJ132" i="32" s="1"/>
  <c r="BJ151" i="32"/>
  <c r="BH75" i="32"/>
  <c r="BH151" i="32"/>
  <c r="BK75" i="32"/>
  <c r="BK151" i="32"/>
  <c r="BI75" i="32"/>
  <c r="BI121" i="32" s="1"/>
  <c r="BI167" i="32" s="1"/>
  <c r="BI151" i="32"/>
  <c r="BG75" i="32"/>
  <c r="BG132" i="32" s="1"/>
  <c r="BG151" i="32"/>
  <c r="BA78" i="32"/>
  <c r="BA154" i="32"/>
  <c r="BA160" i="32" s="1"/>
  <c r="BA161" i="32" s="1"/>
  <c r="BA162" i="32" s="1"/>
  <c r="BO78" i="32"/>
  <c r="BO154" i="32"/>
  <c r="BO160" i="32" s="1"/>
  <c r="BO161" i="32" s="1"/>
  <c r="BO162" i="32" s="1"/>
  <c r="AX78" i="32"/>
  <c r="AX124" i="32" s="1"/>
  <c r="AX170" i="32" s="1"/>
  <c r="AX154" i="32"/>
  <c r="AX160" i="32" s="1"/>
  <c r="AX161" i="32" s="1"/>
  <c r="AX162" i="32" s="1"/>
  <c r="BQ78" i="32"/>
  <c r="BQ124" i="32" s="1"/>
  <c r="BQ170" i="32" s="1"/>
  <c r="BQ154" i="32"/>
  <c r="BB78" i="32"/>
  <c r="BB124" i="32" s="1"/>
  <c r="BB170" i="32" s="1"/>
  <c r="BB154" i="32"/>
  <c r="BC78" i="32"/>
  <c r="BC154" i="32"/>
  <c r="BC160" i="32" s="1"/>
  <c r="BC161" i="32" s="1"/>
  <c r="BC162" i="32" s="1"/>
  <c r="BM78" i="32"/>
  <c r="BM124" i="32" s="1"/>
  <c r="BM170" i="32" s="1"/>
  <c r="BM154" i="32"/>
  <c r="AW78" i="32"/>
  <c r="AW124" i="32" s="1"/>
  <c r="AW170" i="32" s="1"/>
  <c r="AW154" i="32"/>
  <c r="AZ78" i="32"/>
  <c r="AZ154" i="32"/>
  <c r="AZ160" i="32" s="1"/>
  <c r="AZ161" i="32" s="1"/>
  <c r="AZ162" i="32" s="1"/>
  <c r="BF78" i="32"/>
  <c r="BF154" i="32"/>
  <c r="BE78" i="32"/>
  <c r="BE124" i="32" s="1"/>
  <c r="BE170" i="32" s="1"/>
  <c r="BE154" i="32"/>
  <c r="BE160" i="32" s="1"/>
  <c r="BE161" i="32" s="1"/>
  <c r="BE162" i="32" s="1"/>
  <c r="BN75" i="32"/>
  <c r="BN132" i="32" s="1"/>
  <c r="BN151" i="32"/>
  <c r="BS78" i="32"/>
  <c r="BS154" i="32"/>
  <c r="BS160" i="32" s="1"/>
  <c r="BS161" i="32" s="1"/>
  <c r="BS162" i="32" s="1"/>
  <c r="AY78" i="32"/>
  <c r="AY154" i="32"/>
  <c r="AY160" i="32" s="1"/>
  <c r="AY161" i="32" s="1"/>
  <c r="AY162" i="32" s="1"/>
  <c r="BF75" i="32"/>
  <c r="BF121" i="32" s="1"/>
  <c r="BF167" i="32" s="1"/>
  <c r="BF151" i="32"/>
  <c r="BN78" i="32"/>
  <c r="BN135" i="32" s="1"/>
  <c r="BN154" i="32"/>
  <c r="BM75" i="32"/>
  <c r="BM132" i="32" s="1"/>
  <c r="BM151" i="32"/>
  <c r="BD78" i="32"/>
  <c r="BD154" i="32"/>
  <c r="BP78" i="32"/>
  <c r="BP124" i="32" s="1"/>
  <c r="BP170" i="32" s="1"/>
  <c r="BP154" i="32"/>
  <c r="BP160" i="32" s="1"/>
  <c r="BP161" i="32" s="1"/>
  <c r="BP162" i="32" s="1"/>
  <c r="AV78" i="32"/>
  <c r="AV135" i="32" s="1"/>
  <c r="AV154" i="32"/>
  <c r="AV160" i="32" s="1"/>
  <c r="AV161" i="32" s="1"/>
  <c r="AV162" i="32" s="1"/>
  <c r="BR78" i="32"/>
  <c r="BR124" i="32" s="1"/>
  <c r="BR170" i="32" s="1"/>
  <c r="BR154" i="32"/>
  <c r="BR160" i="32" s="1"/>
  <c r="BR161" i="32" s="1"/>
  <c r="BR162" i="32" s="1"/>
  <c r="C193" i="32"/>
  <c r="C277" i="32"/>
  <c r="X245" i="31"/>
  <c r="C189" i="32"/>
  <c r="C278" i="32"/>
  <c r="B113" i="30"/>
  <c r="B125" i="30" s="1"/>
  <c r="V264" i="3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W77" i="32"/>
  <c r="AW134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AX135" i="32"/>
  <c r="CH123" i="32"/>
  <c r="CH169" i="32" s="1"/>
  <c r="CH134" i="32"/>
  <c r="DY122" i="32"/>
  <c r="DY168" i="32" s="1"/>
  <c r="DY133" i="32"/>
  <c r="BM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BF133" i="32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AY124" i="32"/>
  <c r="AY170" i="32" s="1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BI125" i="32"/>
  <c r="BI171" i="32" s="1"/>
  <c r="BI13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BB122" i="32"/>
  <c r="BB168" i="32" s="1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R133" i="32"/>
  <c r="BR122" i="32"/>
  <c r="BR168" i="32" s="1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BF135" i="32"/>
  <c r="BF124" i="32"/>
  <c r="BF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AX133" i="32"/>
  <c r="AX122" i="32"/>
  <c r="AX168" i="32" s="1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AW133" i="32"/>
  <c r="AW122" i="32"/>
  <c r="AW168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DE122" i="32"/>
  <c r="DE168" i="32" s="1"/>
  <c r="DE133" i="32"/>
  <c r="BD122" i="32"/>
  <c r="BD168" i="32" s="1"/>
  <c r="BD133" i="32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24" i="32"/>
  <c r="BD170" i="32" s="1"/>
  <c r="BD135" i="32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AZ122" i="32"/>
  <c r="AZ168" i="32" s="1"/>
  <c r="AZ133" i="32"/>
  <c r="DI121" i="32"/>
  <c r="DI167" i="32" s="1"/>
  <c r="DI132" i="32"/>
  <c r="CD121" i="32"/>
  <c r="CD167" i="32" s="1"/>
  <c r="CD132" i="32"/>
  <c r="BH125" i="32"/>
  <c r="BH171" i="32" s="1"/>
  <c r="BH136" i="32"/>
  <c r="EB124" i="32"/>
  <c r="EB170" i="32" s="1"/>
  <c r="EB135" i="32"/>
  <c r="DL124" i="32"/>
  <c r="DL170" i="32" s="1"/>
  <c r="DL135" i="32"/>
  <c r="CN124" i="32"/>
  <c r="CN170" i="32" s="1"/>
  <c r="CN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S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B160" i="32" l="1"/>
  <c r="BB161" i="32" s="1"/>
  <c r="BB162" i="32" s="1"/>
  <c r="AW160" i="32"/>
  <c r="AW161" i="32" s="1"/>
  <c r="AW162" i="32" s="1"/>
  <c r="BQ160" i="32"/>
  <c r="BQ161" i="32" s="1"/>
  <c r="BQ162" i="32" s="1"/>
  <c r="BJ160" i="32"/>
  <c r="BJ161" i="32" s="1"/>
  <c r="BJ162" i="32" s="1"/>
  <c r="BL160" i="32"/>
  <c r="BL161" i="32" s="1"/>
  <c r="BL162" i="32" s="1"/>
  <c r="BD160" i="32"/>
  <c r="BD161" i="32" s="1"/>
  <c r="BD162" i="32" s="1"/>
  <c r="BG123" i="32"/>
  <c r="BG169" i="32" s="1"/>
  <c r="BG178" i="32" s="1"/>
  <c r="BM135" i="32"/>
  <c r="BM144" i="32" s="1"/>
  <c r="BG121" i="32"/>
  <c r="BG167" i="32" s="1"/>
  <c r="BJ121" i="32"/>
  <c r="BJ167" i="32" s="1"/>
  <c r="BJ178" i="32" s="1"/>
  <c r="BB135" i="32"/>
  <c r="BB142" i="32" s="1"/>
  <c r="BI160" i="32"/>
  <c r="BI161" i="32" s="1"/>
  <c r="BI162" i="32" s="1"/>
  <c r="BF160" i="32"/>
  <c r="BF161" i="32" s="1"/>
  <c r="BF162" i="32" s="1"/>
  <c r="BK134" i="32"/>
  <c r="BK143" i="32" s="1"/>
  <c r="BH160" i="32"/>
  <c r="BH161" i="32" s="1"/>
  <c r="BH162" i="32" s="1"/>
  <c r="BG160" i="32"/>
  <c r="BG161" i="32" s="1"/>
  <c r="BG162" i="32" s="1"/>
  <c r="BK160" i="32"/>
  <c r="BK161" i="32" s="1"/>
  <c r="BK162" i="32" s="1"/>
  <c r="BQ135" i="32"/>
  <c r="AW135" i="32"/>
  <c r="AW144" i="32" s="1"/>
  <c r="BP135" i="32"/>
  <c r="BP142" i="32" s="1"/>
  <c r="BN124" i="32"/>
  <c r="BN170" i="32" s="1"/>
  <c r="AV124" i="32"/>
  <c r="AV170" i="32" s="1"/>
  <c r="BN121" i="32"/>
  <c r="BN167" i="32" s="1"/>
  <c r="BM160" i="32"/>
  <c r="BM161" i="32" s="1"/>
  <c r="BM162" i="32" s="1"/>
  <c r="BF132" i="32"/>
  <c r="BF144" i="32" s="1"/>
  <c r="BE135" i="32"/>
  <c r="BE143" i="32" s="1"/>
  <c r="BN160" i="32"/>
  <c r="BN161" i="32" s="1"/>
  <c r="BN162" i="32" s="1"/>
  <c r="D189" i="32"/>
  <c r="AK189" i="32" s="1"/>
  <c r="AO189" i="32" s="1"/>
  <c r="AO192" i="32" s="1"/>
  <c r="AL208" i="32" s="1"/>
  <c r="AL207" i="32" s="1"/>
  <c r="D210" i="32" s="1"/>
  <c r="J141" i="31"/>
  <c r="C219" i="32" s="1"/>
  <c r="X248" i="31"/>
  <c r="D277" i="32"/>
  <c r="D193" i="32"/>
  <c r="D278" i="32"/>
  <c r="D291" i="32" s="1"/>
  <c r="C291" i="32"/>
  <c r="BN134" i="32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X143" i="32" s="1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DS142" i="32"/>
  <c r="DS144" i="32"/>
  <c r="DS143" i="32"/>
  <c r="DS145" i="32"/>
  <c r="EB143" i="32"/>
  <c r="EB145" i="32"/>
  <c r="EB144" i="32"/>
  <c r="EB142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2" i="32"/>
  <c r="BI144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M145" i="32" l="1"/>
  <c r="BM143" i="32"/>
  <c r="BB145" i="32"/>
  <c r="BK142" i="32"/>
  <c r="BK144" i="32"/>
  <c r="BK145" i="32"/>
  <c r="BB143" i="32"/>
  <c r="BB144" i="32"/>
  <c r="BN178" i="32"/>
  <c r="BQ144" i="32"/>
  <c r="BP144" i="32"/>
  <c r="AW145" i="32"/>
  <c r="AW143" i="32"/>
  <c r="AW142" i="32"/>
  <c r="BP145" i="32"/>
  <c r="BP143" i="32"/>
  <c r="BF142" i="32"/>
  <c r="BE145" i="32"/>
  <c r="BE144" i="32"/>
  <c r="BF143" i="32"/>
  <c r="BE142" i="32"/>
  <c r="BF145" i="32"/>
  <c r="AL209" i="32"/>
  <c r="D219" i="32"/>
  <c r="BC143" i="32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CF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CN146" i="32"/>
  <c r="DX146" i="32"/>
  <c r="CE146" i="32"/>
  <c r="CJ146" i="32"/>
  <c r="BL146" i="32"/>
  <c r="CV146" i="32"/>
  <c r="DY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K146" i="32" l="1"/>
  <c r="BK148" i="32" s="1"/>
  <c r="AW146" i="32"/>
  <c r="BB146" i="32"/>
  <c r="BB147" i="32" s="1"/>
  <c r="BP146" i="32"/>
  <c r="BP147" i="32" s="1"/>
  <c r="BE146" i="32"/>
  <c r="BE148" i="32" s="1"/>
  <c r="BF146" i="32"/>
  <c r="BF147" i="32" s="1"/>
  <c r="BN146" i="32"/>
  <c r="BN148" i="32" s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DT148" i="32"/>
  <c r="DT147" i="32"/>
  <c r="DG148" i="32"/>
  <c r="DG147" i="32"/>
  <c r="DM148" i="32"/>
  <c r="DM147" i="32"/>
  <c r="CU148" i="32"/>
  <c r="CU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J148" i="32"/>
  <c r="BJ147" i="32"/>
  <c r="DS148" i="32"/>
  <c r="DS147" i="32"/>
  <c r="DW148" i="32"/>
  <c r="DW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B148" i="32" l="1"/>
  <c r="BK147" i="32"/>
  <c r="BF148" i="32"/>
  <c r="BF163" i="32" s="1"/>
  <c r="BP148" i="32"/>
  <c r="BP163" i="32" s="1"/>
  <c r="BE147" i="32"/>
  <c r="BE163" i="32" s="1"/>
  <c r="BN147" i="32"/>
  <c r="BN163" i="32" s="1"/>
  <c r="BQ147" i="32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EB163" i="32"/>
  <c r="CM163" i="32"/>
  <c r="CJ163" i="32"/>
  <c r="CY163" i="32"/>
  <c r="DH163" i="32"/>
  <c r="DU163" i="32"/>
  <c r="BL163" i="32"/>
  <c r="DQ163" i="32"/>
  <c r="CU163" i="32"/>
  <c r="CE163" i="32"/>
  <c r="CI163" i="32"/>
  <c r="BG163" i="32"/>
  <c r="DM163" i="32"/>
  <c r="DJ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P118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217" i="32" l="1"/>
  <c r="DL79" i="3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2" l="1"/>
  <c r="AG66" i="3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2" l="1"/>
  <c r="C67" i="32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J40" i="31" s="1"/>
  <c r="AE40" i="31" s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S10" i="7"/>
  <c r="BB11" i="29" s="1"/>
  <c r="S13" i="7"/>
  <c r="BB14" i="29" s="1"/>
  <c r="U21" i="7"/>
  <c r="S21" i="7"/>
  <c r="U20" i="7"/>
  <c r="S20" i="7"/>
  <c r="U9" i="7"/>
  <c r="S9" i="7"/>
  <c r="BB10" i="29" s="1"/>
  <c r="U8" i="7"/>
  <c r="S8" i="7"/>
  <c r="BB9" i="29" s="1"/>
  <c r="U7" i="7"/>
  <c r="S7" i="7"/>
  <c r="BB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AD22" i="29" s="1"/>
  <c r="AF22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204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204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204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204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204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204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F204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X204" i="18" s="1"/>
  <c r="J118" i="18"/>
  <c r="J144" i="18" s="1"/>
  <c r="J157" i="18" s="1"/>
  <c r="J170" i="18" s="1"/>
  <c r="G113" i="18"/>
  <c r="G139" i="18" s="1"/>
  <c r="G152" i="18" s="1"/>
  <c r="G204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204" i="18" s="1"/>
  <c r="N118" i="18"/>
  <c r="N144" i="18" s="1"/>
  <c r="N157" i="18" s="1"/>
  <c r="N170" i="18" s="1"/>
  <c r="C113" i="18"/>
  <c r="C139" i="18" s="1"/>
  <c r="C152" i="18" s="1"/>
  <c r="C204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C183" i="32" l="1"/>
  <c r="T234" i="31"/>
  <c r="B83" i="30"/>
  <c r="AK26" i="29"/>
  <c r="C184" i="32" s="1"/>
  <c r="H198" i="18"/>
  <c r="H217" i="18" s="1"/>
  <c r="M7" i="22" s="1"/>
  <c r="AY17" i="23" s="1"/>
  <c r="AY35" i="23" s="1"/>
  <c r="X198" i="18"/>
  <c r="X217" i="18" s="1"/>
  <c r="AC7" i="22" s="1"/>
  <c r="BO17" i="23" s="1"/>
  <c r="BO38" i="23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D198" i="18"/>
  <c r="D217" i="18" s="1"/>
  <c r="I7" i="22" s="1"/>
  <c r="AU17" i="23" s="1"/>
  <c r="AU39" i="23" s="1"/>
  <c r="W198" i="18"/>
  <c r="W217" i="18" s="1"/>
  <c r="AB7" i="22" s="1"/>
  <c r="BN17" i="23" s="1"/>
  <c r="BN37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T198" i="18"/>
  <c r="T217" i="18" s="1"/>
  <c r="Y7" i="22" s="1"/>
  <c r="BK17" i="23" s="1"/>
  <c r="BK37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X211" i="18"/>
  <c r="X218" i="18" s="1"/>
  <c r="AC9" i="22" s="1"/>
  <c r="Y165" i="18"/>
  <c r="Y211" i="18"/>
  <c r="Y218" i="18" s="1"/>
  <c r="AD9" i="22" s="1"/>
  <c r="V165" i="18"/>
  <c r="V211" i="18"/>
  <c r="V218" i="18" s="1"/>
  <c r="AA9" i="22" s="1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G211" i="18"/>
  <c r="G218" i="18" s="1"/>
  <c r="L9" i="22" s="1"/>
  <c r="F165" i="18"/>
  <c r="F211" i="18"/>
  <c r="F218" i="18" s="1"/>
  <c r="K9" i="22" s="1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Q192" i="18"/>
  <c r="Q198" i="18" s="1"/>
  <c r="Q217" i="18" s="1"/>
  <c r="V7" i="22" s="1"/>
  <c r="BH17" i="23" s="1"/>
  <c r="BH36" i="23" s="1"/>
  <c r="Q166" i="18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T120" i="18"/>
  <c r="B153" i="18"/>
  <c r="B192" i="18" s="1"/>
  <c r="AA140" i="18"/>
  <c r="T158" i="18"/>
  <c r="C52" i="15"/>
  <c r="C24" i="15"/>
  <c r="C43" i="15"/>
  <c r="C9" i="31" s="1"/>
  <c r="Q201" i="18" l="1"/>
  <c r="Q162" i="18"/>
  <c r="O201" i="18"/>
  <c r="O162" i="18"/>
  <c r="O172" i="18" s="1"/>
  <c r="O215" i="18" s="1"/>
  <c r="T5" i="22" s="1"/>
  <c r="N201" i="18"/>
  <c r="N162" i="18"/>
  <c r="R201" i="18"/>
  <c r="R211" i="18" s="1"/>
  <c r="R218" i="18" s="1"/>
  <c r="W9" i="22" s="1"/>
  <c r="R162" i="18"/>
  <c r="R172" i="18" s="1"/>
  <c r="R215" i="18" s="1"/>
  <c r="W5" i="22" s="1"/>
  <c r="P201" i="18"/>
  <c r="P162" i="18"/>
  <c r="P172" i="18" s="1"/>
  <c r="P215" i="18" s="1"/>
  <c r="M201" i="18"/>
  <c r="M162" i="18"/>
  <c r="M172" i="18" s="1"/>
  <c r="M215" i="18" s="1"/>
  <c r="Q172" i="18"/>
  <c r="Q215" i="18" s="1"/>
  <c r="N172" i="18"/>
  <c r="N215" i="18" s="1"/>
  <c r="D184" i="32"/>
  <c r="F84" i="30"/>
  <c r="F83" i="30"/>
  <c r="T272" i="31"/>
  <c r="X272" i="31" s="1"/>
  <c r="J142" i="31" s="1"/>
  <c r="C220" i="32" s="1"/>
  <c r="X234" i="31"/>
  <c r="C185" i="32"/>
  <c r="S175" i="18"/>
  <c r="S185" i="18" s="1"/>
  <c r="S216" i="18" s="1"/>
  <c r="X6" i="22" s="1"/>
  <c r="BJ16" i="23" s="1"/>
  <c r="S162" i="18"/>
  <c r="S172" i="18" s="1"/>
  <c r="S215" i="18" s="1"/>
  <c r="X5" i="22" s="1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R5" i="22"/>
  <c r="BD15" i="23" s="1"/>
  <c r="BD19" i="23" s="1"/>
  <c r="U5" i="22"/>
  <c r="S5" i="22"/>
  <c r="B158" i="18"/>
  <c r="B171" i="18" s="1"/>
  <c r="AA145" i="18"/>
  <c r="B152" i="18"/>
  <c r="B204" i="18" s="1"/>
  <c r="B155" i="18"/>
  <c r="B168" i="18" s="1"/>
  <c r="B156" i="18"/>
  <c r="B169" i="18" s="1"/>
  <c r="B149" i="18"/>
  <c r="AA136" i="18"/>
  <c r="B150" i="18"/>
  <c r="B189" i="18" s="1"/>
  <c r="B198" i="18" s="1"/>
  <c r="AA120" i="18"/>
  <c r="T171" i="18"/>
  <c r="T172" i="18" s="1"/>
  <c r="D185" i="32" l="1"/>
  <c r="D183" i="32" s="1"/>
  <c r="C307" i="32"/>
  <c r="X237" i="31"/>
  <c r="C192" i="32"/>
  <c r="B115" i="30"/>
  <c r="B126" i="30" s="1"/>
  <c r="B167" i="31"/>
  <c r="J167" i="31" s="1"/>
  <c r="B217" i="18"/>
  <c r="G7" i="22" s="1"/>
  <c r="AS17" i="23" s="1"/>
  <c r="AS38" i="23" s="1"/>
  <c r="BR38" i="23" s="1"/>
  <c r="G93" i="23" s="1"/>
  <c r="G95" i="23" s="1"/>
  <c r="AA198" i="18"/>
  <c r="AD8" i="22"/>
  <c r="BP5" i="23" s="1"/>
  <c r="BP10" i="23" s="1"/>
  <c r="D119" i="30"/>
  <c r="B122" i="30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T215" i="18"/>
  <c r="Y5" i="22" s="1"/>
  <c r="B128" i="30" l="1"/>
  <c r="B130" i="30" s="1"/>
  <c r="C276" i="32"/>
  <c r="C243" i="32"/>
  <c r="Z237" i="31"/>
  <c r="AA237" i="31" s="1"/>
  <c r="C235" i="32"/>
  <c r="J170" i="31"/>
  <c r="D192" i="32"/>
  <c r="AJ216" i="32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D161" i="32"/>
  <c r="C4" i="22"/>
  <c r="C7" i="22" s="1"/>
  <c r="K25" i="23" s="1"/>
  <c r="C172" i="32" s="1"/>
  <c r="C162" i="32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C236" i="32" l="1"/>
  <c r="C244" i="32"/>
  <c r="AB237" i="31"/>
  <c r="AC237" i="31" s="1"/>
  <c r="AF237" i="31" s="1"/>
  <c r="B178" i="31" s="1"/>
  <c r="C240" i="32" s="1"/>
  <c r="D243" i="32"/>
  <c r="D235" i="32"/>
  <c r="D236" i="32" s="1"/>
  <c r="D276" i="32"/>
  <c r="C290" i="32"/>
  <c r="C293" i="32"/>
  <c r="D162" i="32"/>
  <c r="AG132" i="31"/>
  <c r="AG134" i="31" s="1"/>
  <c r="L11" i="31"/>
  <c r="J11" i="31"/>
  <c r="T112" i="31"/>
  <c r="M116" i="31"/>
  <c r="AE19" i="31"/>
  <c r="C20" i="31" s="1"/>
  <c r="AF19" i="31"/>
  <c r="D20" i="31" s="1"/>
  <c r="C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155" i="32" l="1"/>
  <c r="D244" i="32"/>
  <c r="D290" i="32"/>
  <c r="D292" i="32" s="1"/>
  <c r="D293" i="32"/>
  <c r="C292" i="32"/>
  <c r="D175" i="32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294" i="32" l="1"/>
  <c r="D294" i="32"/>
  <c r="C176" i="32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2" i="32"/>
  <c r="AF8" i="22"/>
  <c r="AF5" i="22" s="1"/>
  <c r="D158" i="32" l="1"/>
  <c r="D160" i="32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C180" i="32"/>
  <c r="C174" i="32"/>
  <c r="D173" i="32"/>
  <c r="J19" i="31"/>
  <c r="C151" i="32"/>
  <c r="D154" i="32" l="1"/>
  <c r="D174" i="32"/>
  <c r="C194" i="32"/>
  <c r="J48" i="31"/>
  <c r="B174" i="31" s="1"/>
  <c r="C157" i="32"/>
  <c r="D151" i="32"/>
  <c r="C181" i="32"/>
  <c r="D180" i="32"/>
  <c r="D181" i="32" s="1"/>
  <c r="D157" i="32" l="1"/>
  <c r="B180" i="3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<sst xmlns="http://schemas.openxmlformats.org/spreadsheetml/2006/main" count="3007" uniqueCount="1449">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</sst>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8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66" zoomScale="80" zoomScaleNormal="80" workbookViewId="0">
      <selection activeCell="L74" sqref="L7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13.4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13.4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11.8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11.8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13.4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13.4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13.4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1</v>
      </c>
      <c r="BP49">
        <f>IF(CdTrp1!V77=1,1,IF(CdTrp1!V77=2,2,IF(CdTrp1!V77=3,2,0)))</f>
        <v>1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1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563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1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 s="285">
        <v>1</v>
      </c>
      <c r="V76" s="285" t="s">
        <v>541</v>
      </c>
    </row>
    <row r="77" spans="10:22" x14ac:dyDescent="0.25">
      <c r="J77" s="14" t="s">
        <v>540</v>
      </c>
      <c r="K77" s="80"/>
      <c r="R77">
        <v>2</v>
      </c>
      <c r="U77" s="285">
        <v>2</v>
      </c>
      <c r="V77" s="285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/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5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/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/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/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503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503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503</v>
      </c>
      <c r="L100" s="30" t="str">
        <f>CdTrp1!A19</f>
        <v>lot5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>
        <v>1</v>
      </c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15</v>
      </c>
      <c r="S164" s="169">
        <f>'Alim -Surf'!R7</f>
        <v>1.1000000000000001</v>
      </c>
      <c r="T164" s="169">
        <f>VLOOKUP($R164,[1]MEP!$A$4:$M$300,13)</f>
        <v>2</v>
      </c>
      <c r="U164" s="169">
        <f t="shared" ref="U164:U195" si="8">IF($T164&gt;0,$S164,0)</f>
        <v>1.1000000000000001</v>
      </c>
      <c r="V164" s="169">
        <f t="shared" ref="V164:V195" si="9">IF($T164&gt;1,$S164,0)</f>
        <v>1.1000000000000001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0</v>
      </c>
      <c r="AI164" s="169">
        <f t="shared" ref="AI164:AI195" si="19">IF(T164=1,AD164,0)</f>
        <v>0</v>
      </c>
      <c r="AJ164" s="169">
        <f t="shared" ref="AJ164:AJ195" si="20">IF(T164&gt;1,AD164,0)</f>
        <v>1.1000000000000001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294</v>
      </c>
      <c r="S165" s="169">
        <f>'Alim -Surf'!R8</f>
        <v>3.5</v>
      </c>
      <c r="T165" s="169">
        <f>VLOOKUP(R165,[1]MEP!$A$4:$M$300,13)</f>
        <v>2</v>
      </c>
      <c r="U165" s="169">
        <f t="shared" si="8"/>
        <v>3.5</v>
      </c>
      <c r="V165" s="169">
        <f t="shared" si="9"/>
        <v>3.5</v>
      </c>
      <c r="W165" s="169">
        <f t="shared" si="10"/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15</v>
      </c>
      <c r="S167" s="169">
        <f>'Alim -Surf'!R10</f>
        <v>1.5</v>
      </c>
      <c r="T167" s="169">
        <f>VLOOKUP(R167,[1]MEP!$A$4:$M$300,13)</f>
        <v>2</v>
      </c>
      <c r="U167" s="169">
        <f t="shared" si="8"/>
        <v>1.5</v>
      </c>
      <c r="V167" s="169">
        <f t="shared" si="9"/>
        <v>1.5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1.5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294</v>
      </c>
      <c r="S168" s="169">
        <f>'Alim -Surf'!R11</f>
        <v>0.7</v>
      </c>
      <c r="T168" s="169">
        <f>VLOOKUP(R168,[1]MEP!$A$4:$M$300,13)</f>
        <v>2</v>
      </c>
      <c r="U168" s="169">
        <f t="shared" si="8"/>
        <v>0.7</v>
      </c>
      <c r="V168" s="169">
        <f t="shared" si="9"/>
        <v>0.7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0.7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294</v>
      </c>
      <c r="S169" s="169">
        <f>'Alim -Surf'!R12</f>
        <v>1</v>
      </c>
      <c r="T169" s="169">
        <f>VLOOKUP(R169,[1]MEP!$A$4:$M$300,13)</f>
        <v>2</v>
      </c>
      <c r="U169" s="169">
        <f t="shared" si="8"/>
        <v>1</v>
      </c>
      <c r="V169" s="169">
        <f t="shared" si="9"/>
        <v>1</v>
      </c>
      <c r="W169" s="169">
        <f t="shared" si="10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15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11.8</v>
      </c>
      <c r="V228" s="62">
        <f>SUM(V164:V227)</f>
        <v>11.8</v>
      </c>
      <c r="W228" s="62">
        <f>SUM(W164:W227)</f>
        <v>0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0</v>
      </c>
      <c r="AI228" s="62">
        <f t="shared" si="34"/>
        <v>0</v>
      </c>
      <c r="AJ228" s="62">
        <f t="shared" si="34"/>
        <v>11.8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B1" zoomScale="90" zoomScaleNormal="90" workbookViewId="0">
      <selection activeCell="BK36" sqref="BK36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1</v>
      </c>
      <c r="D2" s="179">
        <f t="shared" si="0"/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2</v>
      </c>
      <c r="M2" s="179">
        <f t="shared" si="0"/>
        <v>2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2</v>
      </c>
      <c r="U2" s="179">
        <f t="shared" si="0"/>
        <v>2</v>
      </c>
      <c r="V2" s="179">
        <f t="shared" si="0"/>
        <v>1</v>
      </c>
      <c r="W2" s="179">
        <f t="shared" si="0"/>
        <v>1</v>
      </c>
      <c r="X2" s="179">
        <f t="shared" si="0"/>
        <v>1</v>
      </c>
      <c r="Y2" s="179">
        <f t="shared" si="0"/>
        <v>1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1</v>
      </c>
      <c r="D3" s="179">
        <f t="shared" si="1"/>
        <v>1</v>
      </c>
      <c r="E3" s="179">
        <f t="shared" si="1"/>
        <v>1</v>
      </c>
      <c r="F3" s="179">
        <f t="shared" si="1"/>
        <v>2</v>
      </c>
      <c r="G3" s="179">
        <f t="shared" si="1"/>
        <v>2</v>
      </c>
      <c r="H3" s="179">
        <f t="shared" si="1"/>
        <v>2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1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2</v>
      </c>
      <c r="U3" s="179">
        <f t="shared" si="1"/>
        <v>2</v>
      </c>
      <c r="V3" s="179">
        <f t="shared" si="1"/>
        <v>1</v>
      </c>
      <c r="W3" s="179">
        <f t="shared" si="1"/>
        <v>1</v>
      </c>
      <c r="X3" s="179">
        <f t="shared" si="1"/>
        <v>1</v>
      </c>
      <c r="Y3" s="179">
        <f t="shared" si="1"/>
        <v>1</v>
      </c>
      <c r="Z3" s="179">
        <f t="shared" si="1"/>
        <v>1</v>
      </c>
      <c r="AO3" s="14" t="s">
        <v>745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0</v>
      </c>
      <c r="D4" s="179">
        <f t="shared" si="8"/>
        <v>0</v>
      </c>
      <c r="E4" s="179">
        <f t="shared" si="8"/>
        <v>0</v>
      </c>
      <c r="F4" s="179">
        <f t="shared" si="8"/>
        <v>0</v>
      </c>
      <c r="G4" s="179">
        <f t="shared" si="8"/>
        <v>0</v>
      </c>
      <c r="H4" s="179">
        <f t="shared" si="8"/>
        <v>0</v>
      </c>
      <c r="I4" s="179">
        <f t="shared" si="8"/>
        <v>0</v>
      </c>
      <c r="J4" s="179">
        <f t="shared" si="8"/>
        <v>0</v>
      </c>
      <c r="K4" s="179">
        <f t="shared" si="8"/>
        <v>0</v>
      </c>
      <c r="L4" s="179">
        <f t="shared" si="8"/>
        <v>0</v>
      </c>
      <c r="M4" s="179">
        <f t="shared" si="8"/>
        <v>0</v>
      </c>
      <c r="N4" s="179">
        <f t="shared" si="8"/>
        <v>0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0</v>
      </c>
      <c r="AO4" s="14" t="s">
        <v>743</v>
      </c>
      <c r="AP4" s="30">
        <f>SUM(BG31:BI31)</f>
        <v>2713</v>
      </c>
      <c r="AQ4">
        <f>SUM(BJ31:BL31)</f>
        <v>7.8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0</v>
      </c>
      <c r="D5" s="179">
        <f t="shared" si="11"/>
        <v>0</v>
      </c>
      <c r="E5" s="179">
        <f t="shared" si="11"/>
        <v>0</v>
      </c>
      <c r="F5" s="179">
        <f t="shared" si="11"/>
        <v>0</v>
      </c>
      <c r="G5" s="179">
        <f t="shared" si="11"/>
        <v>0</v>
      </c>
      <c r="H5" s="179">
        <f t="shared" si="11"/>
        <v>0</v>
      </c>
      <c r="I5" s="179">
        <f t="shared" si="11"/>
        <v>0</v>
      </c>
      <c r="J5" s="179">
        <f t="shared" si="11"/>
        <v>0</v>
      </c>
      <c r="K5" s="179">
        <f t="shared" si="11"/>
        <v>0</v>
      </c>
      <c r="L5" s="179">
        <f t="shared" si="11"/>
        <v>0</v>
      </c>
      <c r="M5" s="179">
        <f t="shared" si="11"/>
        <v>0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0</v>
      </c>
      <c r="U5" s="179">
        <f t="shared" si="11"/>
        <v>0</v>
      </c>
      <c r="V5" s="179">
        <f t="shared" si="11"/>
        <v>0</v>
      </c>
      <c r="W5" s="179">
        <f t="shared" si="11"/>
        <v>0</v>
      </c>
      <c r="X5" s="179">
        <f t="shared" si="11"/>
        <v>0</v>
      </c>
      <c r="Y5" s="179">
        <f t="shared" si="11"/>
        <v>0</v>
      </c>
      <c r="Z5" s="179">
        <f t="shared" si="11"/>
        <v>0</v>
      </c>
      <c r="AI5" s="40" t="s">
        <v>742</v>
      </c>
      <c r="AJ5" s="30">
        <f>MAX(C203:Z203)</f>
        <v>4</v>
      </c>
      <c r="AO5" s="14" t="s">
        <v>741</v>
      </c>
      <c r="AP5" s="30">
        <f>BI31</f>
        <v>0</v>
      </c>
      <c r="AQ5">
        <f>+BK31</f>
        <v>7.8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BL31</f>
        <v>0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0</v>
      </c>
      <c r="O7" s="179">
        <f t="shared" si="13"/>
        <v>0</v>
      </c>
      <c r="P7" s="179">
        <f t="shared" si="13"/>
        <v>0</v>
      </c>
      <c r="Q7" s="179">
        <f t="shared" si="13"/>
        <v>0</v>
      </c>
      <c r="R7" s="179">
        <f t="shared" si="13"/>
        <v>0</v>
      </c>
      <c r="S7" s="179">
        <f t="shared" si="13"/>
        <v>0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4</v>
      </c>
      <c r="M8" s="179">
        <f>(M3+M4)*[1]Protect!$B$12</f>
        <v>4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4</v>
      </c>
      <c r="U8" s="179">
        <f>(U3+U4)*[1]Protect!$B$12</f>
        <v>4</v>
      </c>
      <c r="V8" s="179">
        <f>(V3+V4)*[1]Protect!$B$12</f>
        <v>2</v>
      </c>
      <c r="W8" s="179">
        <f>(W3+W4)*[1]Protect!$B$12</f>
        <v>2</v>
      </c>
      <c r="X8" s="179">
        <f>(X3+X4)*[1]Protect!$B$12</f>
        <v>2</v>
      </c>
      <c r="Y8" s="179">
        <f>(Y3+Y4)*[1]Protect!$B$12</f>
        <v>2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2</v>
      </c>
      <c r="AX8" s="30" t="str">
        <f>Parcellaire!D7</f>
        <v>éloigné</v>
      </c>
      <c r="AY8" s="30">
        <f>Parcellaire!F7</f>
        <v>15</v>
      </c>
      <c r="AZ8" s="30">
        <f>Parcellaire!G7</f>
        <v>4</v>
      </c>
      <c r="BA8" s="30">
        <f>ROUND(Parcellaire!R7,0)</f>
        <v>0</v>
      </c>
      <c r="BB8" s="30">
        <f>ROUND(Parcellaire!S7,0)</f>
        <v>0</v>
      </c>
      <c r="BC8" s="30">
        <f>ROUND(Parcellaire!T7,0)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9"/>
        <v>AU</v>
      </c>
      <c r="BG8" s="169">
        <f t="shared" si="10"/>
        <v>0</v>
      </c>
      <c r="BH8" s="169">
        <f t="shared" si="3"/>
        <v>0</v>
      </c>
      <c r="BI8" s="169">
        <f t="shared" si="4"/>
        <v>0</v>
      </c>
      <c r="BJ8" s="169">
        <f t="shared" si="5"/>
        <v>0</v>
      </c>
      <c r="BK8" s="169">
        <f t="shared" si="6"/>
        <v>0</v>
      </c>
      <c r="BL8" s="169">
        <f t="shared" si="7"/>
        <v>0</v>
      </c>
    </row>
    <row r="9" spans="1:64" x14ac:dyDescent="0.25">
      <c r="A9" s="14" t="s">
        <v>699</v>
      </c>
      <c r="B9" t="s">
        <v>545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0</v>
      </c>
      <c r="M9" s="179">
        <f>M5*[1]Protect!$B$13</f>
        <v>0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0</v>
      </c>
      <c r="U9" s="179">
        <f>U5*[1]Protect!$B$13</f>
        <v>0</v>
      </c>
      <c r="V9" s="179">
        <f>V5*[1]Protect!$B$13</f>
        <v>0</v>
      </c>
      <c r="W9" s="179">
        <f>W5*[1]Protect!$B$13</f>
        <v>0</v>
      </c>
      <c r="X9" s="179">
        <f>X5*[1]Protect!$B$13</f>
        <v>0</v>
      </c>
      <c r="Y9" s="179">
        <f>Y5*[1]Protect!$B$13</f>
        <v>0</v>
      </c>
      <c r="Z9" s="179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9"/>
        <v>AU</v>
      </c>
      <c r="BG10" s="169">
        <f t="shared" si="10"/>
        <v>0</v>
      </c>
      <c r="BH10" s="169">
        <f t="shared" si="3"/>
        <v>0</v>
      </c>
      <c r="BI10" s="169">
        <f t="shared" si="4"/>
        <v>0</v>
      </c>
      <c r="BJ10" s="169">
        <f t="shared" si="5"/>
        <v>0</v>
      </c>
      <c r="BK10" s="169">
        <f t="shared" si="6"/>
        <v>0</v>
      </c>
      <c r="BL10" s="169">
        <f t="shared" si="7"/>
        <v>0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2</v>
      </c>
      <c r="D11" s="179">
        <f t="shared" si="14"/>
        <v>2</v>
      </c>
      <c r="E11" s="179">
        <f t="shared" si="14"/>
        <v>2</v>
      </c>
      <c r="F11" s="179">
        <f t="shared" si="14"/>
        <v>4</v>
      </c>
      <c r="G11" s="179">
        <f t="shared" si="14"/>
        <v>4</v>
      </c>
      <c r="H11" s="179">
        <f t="shared" si="14"/>
        <v>4</v>
      </c>
      <c r="I11" s="179">
        <f t="shared" si="14"/>
        <v>4</v>
      </c>
      <c r="J11" s="179">
        <f t="shared" si="14"/>
        <v>4</v>
      </c>
      <c r="K11" s="179">
        <f t="shared" si="14"/>
        <v>4</v>
      </c>
      <c r="L11" s="179">
        <f t="shared" si="14"/>
        <v>4</v>
      </c>
      <c r="M11" s="179">
        <f t="shared" si="14"/>
        <v>4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4</v>
      </c>
      <c r="U11" s="179">
        <f t="shared" si="14"/>
        <v>4</v>
      </c>
      <c r="V11" s="179">
        <f t="shared" si="14"/>
        <v>2</v>
      </c>
      <c r="W11" s="179">
        <f t="shared" si="14"/>
        <v>2</v>
      </c>
      <c r="X11" s="179">
        <f t="shared" si="14"/>
        <v>2</v>
      </c>
      <c r="Y11" s="179">
        <f t="shared" si="14"/>
        <v>2</v>
      </c>
      <c r="Z11" s="179">
        <f t="shared" si="14"/>
        <v>2</v>
      </c>
      <c r="AB11" s="2" t="s">
        <v>737</v>
      </c>
      <c r="AC11" s="14"/>
      <c r="AV11" s="30">
        <f>Parcellaire!A10</f>
        <v>9</v>
      </c>
      <c r="AW11" s="30">
        <f>Parcellaire!B10</f>
        <v>2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9"/>
        <v>AU</v>
      </c>
      <c r="BG11" s="169">
        <f t="shared" si="10"/>
        <v>0</v>
      </c>
      <c r="BH11" s="169">
        <f t="shared" si="3"/>
        <v>0</v>
      </c>
      <c r="BI11" s="169">
        <f t="shared" si="4"/>
        <v>0</v>
      </c>
      <c r="BJ11" s="169">
        <f t="shared" si="5"/>
        <v>0</v>
      </c>
      <c r="BK11" s="169">
        <f t="shared" si="6"/>
        <v>0</v>
      </c>
      <c r="BL11" s="169">
        <f t="shared" si="7"/>
        <v>0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0</v>
      </c>
      <c r="O12" s="179">
        <f>O7*[1]Protect!$B$15</f>
        <v>0</v>
      </c>
      <c r="P12" s="179">
        <f>P7*[1]Protect!$B$15</f>
        <v>0</v>
      </c>
      <c r="Q12" s="179">
        <f>Q7*[1]Protect!$B$15</f>
        <v>0</v>
      </c>
      <c r="R12" s="179">
        <f>R7*[1]Protect!$B$15</f>
        <v>0</v>
      </c>
      <c r="S12" s="179">
        <f>S7*[1]Protect!$B$15</f>
        <v>0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0</v>
      </c>
      <c r="BC12" s="30">
        <f>ROUND(Parcellaire!T11,0)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9"/>
        <v>AU</v>
      </c>
      <c r="BG12" s="169">
        <f t="shared" si="10"/>
        <v>0</v>
      </c>
      <c r="BH12" s="169">
        <f t="shared" si="3"/>
        <v>0</v>
      </c>
      <c r="BI12" s="169">
        <f t="shared" si="4"/>
        <v>0</v>
      </c>
      <c r="BJ12" s="169">
        <f t="shared" si="5"/>
        <v>0</v>
      </c>
      <c r="BK12" s="169">
        <f t="shared" si="6"/>
        <v>0</v>
      </c>
      <c r="BL12" s="169">
        <f t="shared" si="7"/>
        <v>0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2</v>
      </c>
      <c r="D13" s="179">
        <f t="shared" si="15"/>
        <v>2</v>
      </c>
      <c r="E13" s="179">
        <f t="shared" si="15"/>
        <v>2</v>
      </c>
      <c r="F13" s="179">
        <f t="shared" si="15"/>
        <v>4</v>
      </c>
      <c r="G13" s="179">
        <f t="shared" si="15"/>
        <v>4</v>
      </c>
      <c r="H13" s="179">
        <f t="shared" si="15"/>
        <v>4</v>
      </c>
      <c r="I13" s="179">
        <f t="shared" si="15"/>
        <v>4</v>
      </c>
      <c r="J13" s="179">
        <f t="shared" si="15"/>
        <v>4</v>
      </c>
      <c r="K13" s="179">
        <f t="shared" si="15"/>
        <v>4</v>
      </c>
      <c r="L13" s="179">
        <f t="shared" si="15"/>
        <v>4</v>
      </c>
      <c r="M13" s="179">
        <f t="shared" si="15"/>
        <v>4</v>
      </c>
      <c r="N13" s="179">
        <f t="shared" si="15"/>
        <v>2</v>
      </c>
      <c r="O13" s="179">
        <f t="shared" si="15"/>
        <v>2</v>
      </c>
      <c r="P13" s="179">
        <f t="shared" si="15"/>
        <v>2</v>
      </c>
      <c r="Q13" s="179">
        <f t="shared" si="15"/>
        <v>2</v>
      </c>
      <c r="R13" s="179">
        <f t="shared" si="15"/>
        <v>2</v>
      </c>
      <c r="S13" s="179">
        <f t="shared" si="15"/>
        <v>2</v>
      </c>
      <c r="T13" s="179">
        <f t="shared" si="15"/>
        <v>4</v>
      </c>
      <c r="U13" s="179">
        <f t="shared" si="15"/>
        <v>4</v>
      </c>
      <c r="V13" s="179">
        <f t="shared" si="15"/>
        <v>2</v>
      </c>
      <c r="W13" s="179">
        <f t="shared" si="15"/>
        <v>2</v>
      </c>
      <c r="X13" s="179">
        <f t="shared" si="15"/>
        <v>2</v>
      </c>
      <c r="Y13" s="179">
        <f t="shared" si="15"/>
        <v>2</v>
      </c>
      <c r="Z13" s="179">
        <f t="shared" si="15"/>
        <v>2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0</v>
      </c>
      <c r="BC13" s="30">
        <f>ROUND(Parcellaire!T12,0)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9"/>
        <v>AU</v>
      </c>
      <c r="BG13" s="169">
        <f t="shared" si="10"/>
        <v>0</v>
      </c>
      <c r="BH13" s="169">
        <f t="shared" si="3"/>
        <v>0</v>
      </c>
      <c r="BI13" s="169">
        <f t="shared" si="4"/>
        <v>0</v>
      </c>
      <c r="BJ13" s="169">
        <f t="shared" si="5"/>
        <v>0</v>
      </c>
      <c r="BK13" s="169">
        <f t="shared" si="6"/>
        <v>0</v>
      </c>
      <c r="BL13" s="169">
        <f t="shared" si="7"/>
        <v>0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0</v>
      </c>
      <c r="D15" s="169">
        <f t="shared" si="16"/>
        <v>0</v>
      </c>
      <c r="E15" s="169">
        <f t="shared" si="16"/>
        <v>0</v>
      </c>
      <c r="F15" s="169">
        <f t="shared" si="16"/>
        <v>0</v>
      </c>
      <c r="G15" s="169">
        <f t="shared" si="16"/>
        <v>0</v>
      </c>
      <c r="H15" s="169">
        <f t="shared" si="16"/>
        <v>0</v>
      </c>
      <c r="I15" s="169">
        <f t="shared" si="16"/>
        <v>0</v>
      </c>
      <c r="J15" s="169">
        <f t="shared" si="16"/>
        <v>0</v>
      </c>
      <c r="K15" s="169">
        <f t="shared" si="16"/>
        <v>0</v>
      </c>
      <c r="L15" s="169">
        <f t="shared" si="16"/>
        <v>0</v>
      </c>
      <c r="M15" s="169">
        <f t="shared" si="16"/>
        <v>0</v>
      </c>
      <c r="N15" s="169">
        <f t="shared" si="16"/>
        <v>0</v>
      </c>
      <c r="O15" s="169">
        <f t="shared" si="16"/>
        <v>0</v>
      </c>
      <c r="P15" s="169">
        <f t="shared" si="16"/>
        <v>0</v>
      </c>
      <c r="Q15" s="169">
        <f t="shared" si="16"/>
        <v>0</v>
      </c>
      <c r="R15" s="169">
        <f t="shared" si="16"/>
        <v>0</v>
      </c>
      <c r="S15" s="169">
        <f t="shared" si="16"/>
        <v>0</v>
      </c>
      <c r="T15" s="169">
        <f t="shared" si="16"/>
        <v>0</v>
      </c>
      <c r="U15" s="169">
        <f t="shared" si="16"/>
        <v>0</v>
      </c>
      <c r="V15" s="169">
        <f t="shared" si="16"/>
        <v>0</v>
      </c>
      <c r="W15" s="169">
        <f t="shared" si="16"/>
        <v>0</v>
      </c>
      <c r="X15" s="169">
        <f t="shared" si="16"/>
        <v>0</v>
      </c>
      <c r="Y15" s="169">
        <f t="shared" si="16"/>
        <v>0</v>
      </c>
      <c r="Z15" s="169">
        <f t="shared" si="16"/>
        <v>0</v>
      </c>
      <c r="AV15" s="30">
        <f>Parcellaire!A14</f>
        <v>13</v>
      </c>
      <c r="AW15" s="30">
        <f>Parcellaire!B14</f>
        <v>2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0</v>
      </c>
      <c r="BC15" s="30">
        <f>ROUND(Parcellaire!T14,0)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9"/>
        <v>AU</v>
      </c>
      <c r="BG15" s="169">
        <f t="shared" si="10"/>
        <v>0</v>
      </c>
      <c r="BH15" s="169">
        <f t="shared" si="3"/>
        <v>0</v>
      </c>
      <c r="BI15" s="169">
        <f t="shared" si="4"/>
        <v>0</v>
      </c>
      <c r="BJ15" s="169">
        <f t="shared" si="5"/>
        <v>0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4</v>
      </c>
      <c r="D16" s="169">
        <f t="shared" si="17"/>
        <v>4</v>
      </c>
      <c r="E16" s="169">
        <f t="shared" si="17"/>
        <v>4</v>
      </c>
      <c r="F16" s="169">
        <f t="shared" si="17"/>
        <v>4</v>
      </c>
      <c r="G16" s="169">
        <f t="shared" si="17"/>
        <v>4</v>
      </c>
      <c r="H16" s="169">
        <f t="shared" si="17"/>
        <v>4</v>
      </c>
      <c r="I16" s="169">
        <f t="shared" si="17"/>
        <v>4</v>
      </c>
      <c r="J16" s="169">
        <f t="shared" si="17"/>
        <v>4</v>
      </c>
      <c r="K16" s="169">
        <f t="shared" si="17"/>
        <v>4</v>
      </c>
      <c r="L16" s="169">
        <f t="shared" si="17"/>
        <v>4</v>
      </c>
      <c r="M16" s="169">
        <f t="shared" si="17"/>
        <v>4</v>
      </c>
      <c r="N16" s="169">
        <f t="shared" si="17"/>
        <v>2</v>
      </c>
      <c r="O16" s="169">
        <f t="shared" si="17"/>
        <v>2</v>
      </c>
      <c r="P16" s="169">
        <f t="shared" si="17"/>
        <v>2</v>
      </c>
      <c r="Q16" s="169">
        <f t="shared" si="17"/>
        <v>2</v>
      </c>
      <c r="R16" s="169">
        <f t="shared" si="17"/>
        <v>2</v>
      </c>
      <c r="S16" s="169">
        <f t="shared" si="17"/>
        <v>2</v>
      </c>
      <c r="T16" s="169">
        <f t="shared" si="17"/>
        <v>4</v>
      </c>
      <c r="U16" s="169">
        <f t="shared" si="17"/>
        <v>4</v>
      </c>
      <c r="V16" s="169">
        <f t="shared" si="17"/>
        <v>3</v>
      </c>
      <c r="W16" s="169">
        <f t="shared" si="17"/>
        <v>3</v>
      </c>
      <c r="X16" s="169">
        <f t="shared" si="17"/>
        <v>3</v>
      </c>
      <c r="Y16" s="169">
        <f t="shared" si="17"/>
        <v>4</v>
      </c>
      <c r="Z16" s="169">
        <f t="shared" si="17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0</v>
      </c>
      <c r="D17" s="169">
        <f t="shared" si="18"/>
        <v>0</v>
      </c>
      <c r="E17" s="169">
        <f t="shared" si="18"/>
        <v>0</v>
      </c>
      <c r="F17" s="169">
        <f t="shared" si="18"/>
        <v>0</v>
      </c>
      <c r="G17" s="169">
        <f t="shared" si="18"/>
        <v>0</v>
      </c>
      <c r="H17" s="169">
        <f t="shared" si="18"/>
        <v>0</v>
      </c>
      <c r="I17" s="169">
        <f t="shared" si="18"/>
        <v>0</v>
      </c>
      <c r="J17" s="169">
        <f t="shared" si="18"/>
        <v>0</v>
      </c>
      <c r="K17" s="169">
        <f t="shared" si="18"/>
        <v>0</v>
      </c>
      <c r="L17" s="169">
        <f t="shared" si="18"/>
        <v>0</v>
      </c>
      <c r="M17" s="169">
        <f t="shared" si="18"/>
        <v>0</v>
      </c>
      <c r="N17" s="169">
        <f t="shared" si="18"/>
        <v>0</v>
      </c>
      <c r="O17" s="169">
        <f t="shared" si="18"/>
        <v>0</v>
      </c>
      <c r="P17" s="169">
        <f t="shared" si="18"/>
        <v>0</v>
      </c>
      <c r="Q17" s="169">
        <f t="shared" si="18"/>
        <v>0</v>
      </c>
      <c r="R17" s="169">
        <f t="shared" si="18"/>
        <v>0</v>
      </c>
      <c r="S17" s="169">
        <f t="shared" si="18"/>
        <v>0</v>
      </c>
      <c r="T17" s="169">
        <f t="shared" si="18"/>
        <v>0</v>
      </c>
      <c r="U17" s="169">
        <f t="shared" si="18"/>
        <v>0</v>
      </c>
      <c r="V17" s="169">
        <f t="shared" si="18"/>
        <v>0</v>
      </c>
      <c r="W17" s="169">
        <f t="shared" si="18"/>
        <v>0</v>
      </c>
      <c r="X17" s="169">
        <f t="shared" si="18"/>
        <v>0</v>
      </c>
      <c r="Y17" s="169">
        <f t="shared" si="18"/>
        <v>0</v>
      </c>
      <c r="Z17" s="169">
        <f t="shared" si="18"/>
        <v>0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1</v>
      </c>
      <c r="D18" s="62">
        <f t="shared" si="19"/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240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0</v>
      </c>
      <c r="O20" s="169">
        <f t="shared" si="21"/>
        <v>0</v>
      </c>
      <c r="P20" s="169">
        <f t="shared" si="21"/>
        <v>0</v>
      </c>
      <c r="Q20" s="169">
        <f t="shared" si="21"/>
        <v>0</v>
      </c>
      <c r="R20" s="169">
        <f t="shared" si="21"/>
        <v>0</v>
      </c>
      <c r="S20" s="169">
        <f t="shared" si="21"/>
        <v>0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240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1</v>
      </c>
      <c r="D22" s="62">
        <f t="shared" si="22"/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1</v>
      </c>
      <c r="O22" s="62">
        <f t="shared" si="22"/>
        <v>1</v>
      </c>
      <c r="P22" s="62">
        <f t="shared" si="22"/>
        <v>1</v>
      </c>
      <c r="Q22" s="62">
        <f t="shared" si="22"/>
        <v>1</v>
      </c>
      <c r="R22" s="62">
        <f t="shared" si="22"/>
        <v>1</v>
      </c>
      <c r="S22" s="62">
        <f t="shared" si="22"/>
        <v>1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720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0</v>
      </c>
      <c r="BH31" s="62">
        <f t="shared" si="27"/>
        <v>2713</v>
      </c>
      <c r="BI31" s="62">
        <f t="shared" si="27"/>
        <v>0</v>
      </c>
      <c r="BJ31" s="62">
        <f t="shared" si="27"/>
        <v>0</v>
      </c>
      <c r="BK31" s="62">
        <f t="shared" si="27"/>
        <v>7.8</v>
      </c>
      <c r="BL31" s="62">
        <f t="shared" si="27"/>
        <v>0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1</v>
      </c>
      <c r="BH48" s="173">
        <f>IF(CdTrp1!N76=1,1,IF(CdTrp1!N76=2,2,IF(CdTrp1!N76=3,2,0)))</f>
        <v>1</v>
      </c>
      <c r="BI48" s="173">
        <f>IF(CdTrp1!O76=1,1,IF(CdTrp1!O76=2,2,IF(CdTrp1!O76=3,2,0)))</f>
        <v>1</v>
      </c>
      <c r="BJ48" s="173">
        <f>IF(CdTrp1!P76=1,1,IF(CdTrp1!P76=2,2,IF(CdTrp1!P76=3,2,0)))</f>
        <v>1</v>
      </c>
      <c r="BK48" s="173">
        <f>IF(CdTrp1!Q76=1,1,IF(CdTrp1!Q76=2,2,IF(CdTrp1!Q76=3,2,0)))</f>
        <v>1</v>
      </c>
      <c r="BL48" s="173">
        <f>IF(CdTrp1!R76=1,1,IF(CdTrp1!R76=2,2,IF(CdTrp1!R76=3,2,0)))</f>
        <v>1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1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1</v>
      </c>
      <c r="BA49" s="173">
        <f>IF(CdTrp1!G77=1,1,IF(CdTrp1!G77=2,2,IF(CdTrp1!G77=3,2,0)))</f>
        <v>1</v>
      </c>
      <c r="BB49" s="173">
        <f>IF(CdTrp1!H77=1,1,IF(CdTrp1!H77=2,2,IF(CdTrp1!H77=3,2,0)))</f>
        <v>1</v>
      </c>
      <c r="BC49" s="173">
        <f>IF(CdTrp1!I77=1,1,IF(CdTrp1!I77=2,2,IF(CdTrp1!I77=3,2,0)))</f>
        <v>1</v>
      </c>
      <c r="BD49" s="173">
        <f>IF(CdTrp1!J77=1,1,IF(CdTrp1!J77=2,2,IF(CdTrp1!J77=3,2,0)))</f>
        <v>1</v>
      </c>
      <c r="BE49" s="173">
        <f>IF(CdTrp1!K77=1,1,IF(CdTrp1!K77=2,2,IF(CdTrp1!K77=3,2,0)))</f>
        <v>1</v>
      </c>
      <c r="BF49" s="173">
        <f>IF(CdTrp1!L77=1,1,IF(CdTrp1!L77=2,2,IF(CdTrp1!L77=3,2,0)))</f>
        <v>1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1</v>
      </c>
      <c r="BN49" s="173">
        <f>IF(CdTrp1!T77=1,1,IF(CdTrp1!T77=2,2,IF(CdTrp1!T77=3,2,0)))</f>
        <v>1</v>
      </c>
      <c r="BO49" s="173">
        <f>IF(CdTrp1!U77=1,1,IF(CdTrp1!U77=2,2,IF(CdTrp1!U77=3,2,0)))</f>
        <v>1</v>
      </c>
      <c r="BP49" s="173">
        <f>IF(CdTrp1!V77=1,1,IF(CdTrp1!V77=2,2,IF(CdTrp1!V77=3,2,0)))</f>
        <v>1</v>
      </c>
      <c r="BQ49" s="173">
        <f>IF(CdTrp1!W77=1,1,IF(CdTrp1!W77=2,2,IF(CdTrp1!W77=3,2,0)))</f>
        <v>1</v>
      </c>
      <c r="BR49" s="173">
        <f>IF(CdTrp1!X77=1,1,IF(CdTrp1!X77=2,2,IF(CdTrp1!X77=3,2,0)))</f>
        <v>1</v>
      </c>
      <c r="BS49" s="173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1</v>
      </c>
      <c r="H68" s="169">
        <f>IF($AA68=0,99,IF(H81&gt;3,CdTrp1!G76,CdTrp1!G52))</f>
        <v>1</v>
      </c>
      <c r="I68" s="169">
        <f>IF($AA68=0,99,IF(I81&gt;3,CdTrp1!H76,CdTrp1!H52))</f>
        <v>1</v>
      </c>
      <c r="J68" s="169">
        <f>IF($AA68=0,99,IF(J81&gt;3,CdTrp1!I76,CdTrp1!I52))</f>
        <v>1</v>
      </c>
      <c r="K68" s="169">
        <f>IF($AA68=0,99,IF(K81&gt;3,CdTrp1!J76,CdTrp1!J52))</f>
        <v>1</v>
      </c>
      <c r="L68" s="169">
        <f>IF($AA68=0,99,IF(L81&gt;3,CdTrp1!K76,CdTrp1!K52))</f>
        <v>1</v>
      </c>
      <c r="M68" s="169">
        <f>IF($AA68=0,99,IF(M81&gt;3,CdTrp1!L76,CdTrp1!L52))</f>
        <v>1</v>
      </c>
      <c r="N68" s="169">
        <f>IF($AA68=0,99,IF(N81&gt;3,CdTrp1!M76,CdTrp1!M52))</f>
        <v>1</v>
      </c>
      <c r="O68" s="169">
        <f>IF($AA68=0,99,IF(O81&gt;3,CdTrp1!N76,CdTrp1!N52))</f>
        <v>1</v>
      </c>
      <c r="P68" s="169">
        <f>IF($AA68=0,99,IF(P81&gt;3,CdTrp1!O76,CdTrp1!O52))</f>
        <v>1</v>
      </c>
      <c r="Q68" s="169">
        <f>IF($AA68=0,99,IF(Q81&gt;3,CdTrp1!P76,CdTrp1!P52))</f>
        <v>1</v>
      </c>
      <c r="R68" s="169">
        <f>IF($AA68=0,99,IF(R81&gt;3,CdTrp1!Q76,CdTrp1!Q52))</f>
        <v>1</v>
      </c>
      <c r="S68" s="169">
        <f>IF($AA68=0,99,IF(S81&gt;3,CdTrp1!R76,CdTrp1!R52))</f>
        <v>1</v>
      </c>
      <c r="T68" s="169">
        <f>IF($AA68=0,99,IF(T81&gt;3,CdTrp1!S76,CdTrp1!S52))</f>
        <v>1</v>
      </c>
      <c r="U68" s="169">
        <f>IF($AA68=0,99,IF(U81&gt;3,CdTrp1!T76,CdTrp1!T52))</f>
        <v>1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205.02187499999994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1</v>
      </c>
      <c r="J69" s="169">
        <f>IF($AA69=0,99,IF(J82&gt;3,CdTrp1!I77,CdTrp1!I53))</f>
        <v>1</v>
      </c>
      <c r="K69" s="169">
        <f>IF($AA69=0,99,IF(K82&gt;3,CdTrp1!J77,CdTrp1!J53))</f>
        <v>1</v>
      </c>
      <c r="L69" s="169">
        <f>IF($AA69=0,99,IF(L82&gt;3,CdTrp1!K77,CdTrp1!K53))</f>
        <v>1</v>
      </c>
      <c r="M69" s="169">
        <f>IF($AA69=0,99,IF(M82&gt;3,CdTrp1!L77,CdTrp1!L53))</f>
        <v>1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1</v>
      </c>
      <c r="U69" s="169">
        <f>IF($AA69=0,99,IF(U82&gt;3,CdTrp1!T77,CdTrp1!T53))</f>
        <v>1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46.900000000000006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1</v>
      </c>
      <c r="I71" s="169">
        <f>IF($AA71=0,99,IF(I84&gt;3,CdTrp1!H79,CdTrp1!H55))</f>
        <v>1</v>
      </c>
      <c r="J71" s="169">
        <f>IF($AA71=0,99,IF(J84&gt;3,CdTrp1!I79,CdTrp1!I55))</f>
        <v>1</v>
      </c>
      <c r="K71" s="169">
        <f>IF($AA71=0,99,IF(K84&gt;3,CdTrp1!J79,CdTrp1!J55))</f>
        <v>1</v>
      </c>
      <c r="L71" s="169">
        <f>IF($AA71=0,99,IF(L84&gt;3,CdTrp1!K79,CdTrp1!K55))</f>
        <v>1</v>
      </c>
      <c r="M71" s="169">
        <f>IF($AA71=0,99,IF(M84&gt;3,CdTrp1!L79,CdTrp1!L55))</f>
        <v>1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1</v>
      </c>
      <c r="U71" s="169">
        <f>IF($AA71=0,99,IF(U84&gt;3,CdTrp1!T79,CdTrp1!T55))</f>
        <v>1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3">
        <f>SUM(CdTrp1!B18:Y18)/24</f>
        <v>3.7666666666666675</v>
      </c>
      <c r="AD71" s="15"/>
    </row>
    <row r="72" spans="1:49" x14ac:dyDescent="0.25">
      <c r="B72" s="263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1</v>
      </c>
      <c r="D82" s="169">
        <f>CdTrp1!C77</f>
        <v>1</v>
      </c>
      <c r="E82" s="169">
        <f>CdTrp1!D77</f>
        <v>1</v>
      </c>
      <c r="F82" s="169">
        <f>CdTrp1!E77</f>
        <v>1</v>
      </c>
      <c r="G82" s="169">
        <f>CdTrp1!F77</f>
        <v>1</v>
      </c>
      <c r="H82" s="169">
        <f>CdTrp1!G77</f>
        <v>1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1</v>
      </c>
      <c r="X82" s="169">
        <f>CdTrp1!W77</f>
        <v>1</v>
      </c>
      <c r="Y82" s="169">
        <f>CdTrp1!X77</f>
        <v>1</v>
      </c>
      <c r="Z82" s="169">
        <f>CdTrp1!Y77</f>
        <v>1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3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1</v>
      </c>
      <c r="D180" s="169">
        <f>IF(Troupeau!$B$3="OL",Protection!D18,0)</f>
        <v>1</v>
      </c>
      <c r="E180" s="169">
        <f>IF(Troupeau!$B$3="OL",Protection!E18,0)</f>
        <v>1</v>
      </c>
      <c r="F180" s="169">
        <f>IF(Troupeau!$B$3="OL",Protection!F18,0)</f>
        <v>1</v>
      </c>
      <c r="G180" s="169">
        <f>IF(Troupeau!$B$3="OL",Protection!G18,0)</f>
        <v>1</v>
      </c>
      <c r="H180" s="169">
        <f>IF(Troupeau!$B$3="OL",Protection!H18,0)</f>
        <v>1</v>
      </c>
      <c r="I180" s="169">
        <f>IF(Troupeau!$B$3="OL",Protection!I18,0)</f>
        <v>1</v>
      </c>
      <c r="J180" s="169">
        <f>IF(Troupeau!$B$3="OL",Protection!J18,0)</f>
        <v>1</v>
      </c>
      <c r="K180" s="169">
        <f>IF(Troupeau!$B$3="OL",Protection!K18,0)</f>
        <v>1</v>
      </c>
      <c r="L180" s="169">
        <f>IF(Troupeau!$B$3="OL",Protection!L18,0)</f>
        <v>1</v>
      </c>
      <c r="M180" s="169">
        <f>IF(Troupeau!$B$3="OL",Protection!M18,0)</f>
        <v>1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1</v>
      </c>
      <c r="U180" s="169">
        <f>IF(Troupeau!$B$3="OL",Protection!U18,0)</f>
        <v>1</v>
      </c>
      <c r="V180" s="169">
        <f>IF(Troupeau!$B$3="OL",Protection!V18,0)</f>
        <v>1</v>
      </c>
      <c r="W180" s="169">
        <f>IF(Troupeau!$B$3="OL",Protection!W18,0)</f>
        <v>1</v>
      </c>
      <c r="X180" s="169">
        <f>IF(Troupeau!$B$3="OL",Protection!X18,0)</f>
        <v>1</v>
      </c>
      <c r="Y180" s="169">
        <f>IF(Troupeau!$B$3="OL",Protection!Y18,0)</f>
        <v>1</v>
      </c>
      <c r="Z180" s="169">
        <f>IF(Troupeau!$B$3="OL",Protection!Z18,0)</f>
        <v>1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1</v>
      </c>
      <c r="D195" s="169">
        <f t="shared" si="50"/>
        <v>1</v>
      </c>
      <c r="E195" s="169">
        <f t="shared" si="50"/>
        <v>1</v>
      </c>
      <c r="F195" s="169">
        <f t="shared" si="50"/>
        <v>1</v>
      </c>
      <c r="G195" s="169">
        <f t="shared" si="50"/>
        <v>1</v>
      </c>
      <c r="H195" s="169">
        <f t="shared" si="50"/>
        <v>1</v>
      </c>
      <c r="I195" s="169">
        <f t="shared" si="50"/>
        <v>1</v>
      </c>
      <c r="J195" s="169">
        <f t="shared" si="50"/>
        <v>1</v>
      </c>
      <c r="K195" s="169">
        <f t="shared" si="50"/>
        <v>1</v>
      </c>
      <c r="L195" s="169">
        <f t="shared" si="50"/>
        <v>1</v>
      </c>
      <c r="M195" s="169">
        <f t="shared" si="50"/>
        <v>1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1</v>
      </c>
      <c r="U195" s="169">
        <f t="shared" si="50"/>
        <v>1</v>
      </c>
      <c r="V195" s="169">
        <f t="shared" si="50"/>
        <v>1</v>
      </c>
      <c r="W195" s="169">
        <f t="shared" si="50"/>
        <v>1</v>
      </c>
      <c r="X195" s="169">
        <f t="shared" si="50"/>
        <v>1</v>
      </c>
      <c r="Y195" s="169">
        <f t="shared" si="50"/>
        <v>1</v>
      </c>
      <c r="Z195" s="169">
        <f t="shared" si="50"/>
        <v>1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0</v>
      </c>
      <c r="O196" s="169">
        <f t="shared" si="51"/>
        <v>0</v>
      </c>
      <c r="P196" s="169">
        <f t="shared" si="51"/>
        <v>0</v>
      </c>
      <c r="Q196" s="169">
        <f t="shared" si="51"/>
        <v>0</v>
      </c>
      <c r="R196" s="169">
        <f t="shared" si="51"/>
        <v>0</v>
      </c>
      <c r="S196" s="169">
        <f t="shared" si="51"/>
        <v>0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2</v>
      </c>
      <c r="D201" s="169">
        <f>IF(Troupeau!$B$3="OL",D8+D9,0)</f>
        <v>2</v>
      </c>
      <c r="E201" s="169">
        <f>IF(Troupeau!$B$3="OL",E8+E9,0)</f>
        <v>2</v>
      </c>
      <c r="F201" s="169">
        <f>IF(Troupeau!$B$3="OL",F8+F9,0)</f>
        <v>4</v>
      </c>
      <c r="G201" s="169">
        <f>IF(Troupeau!$B$3="OL",G8+G9,0)</f>
        <v>4</v>
      </c>
      <c r="H201" s="169">
        <f>IF(Troupeau!$B$3="OL",H8+H9,0)</f>
        <v>4</v>
      </c>
      <c r="I201" s="169">
        <f>IF(Troupeau!$B$3="OL",I8+I9,0)</f>
        <v>4</v>
      </c>
      <c r="J201" s="169">
        <f>IF(Troupeau!$B$3="OL",J8+J9,0)</f>
        <v>4</v>
      </c>
      <c r="K201" s="169">
        <f>IF(Troupeau!$B$3="OL",K8+K9,0)</f>
        <v>4</v>
      </c>
      <c r="L201" s="169">
        <f>IF(Troupeau!$B$3="OL",L8+L9,0)</f>
        <v>4</v>
      </c>
      <c r="M201" s="169">
        <f>IF(Troupeau!$B$3="OL",M8+M9,0)</f>
        <v>4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4</v>
      </c>
      <c r="U201" s="169">
        <f>IF(Troupeau!$B$3="OL",U8+U9,0)</f>
        <v>4</v>
      </c>
      <c r="V201" s="169">
        <f>IF(Troupeau!$B$3="OL",V8+V9,0)</f>
        <v>2</v>
      </c>
      <c r="W201" s="169">
        <f>IF(Troupeau!$B$3="OL",W8+W9,0)</f>
        <v>2</v>
      </c>
      <c r="X201" s="169">
        <f>IF(Troupeau!$B$3="OL",X8+X9,0)</f>
        <v>2</v>
      </c>
      <c r="Y201" s="169">
        <f>IF(Troupeau!$B$3="OL",Y8+Y9,0)</f>
        <v>2</v>
      </c>
      <c r="Z201" s="169">
        <f>IF(Troupeau!$B$3="OL",Z8+Z9,0)</f>
        <v>2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2</v>
      </c>
      <c r="D203" s="169">
        <f t="shared" si="52"/>
        <v>2</v>
      </c>
      <c r="E203" s="169">
        <f t="shared" si="52"/>
        <v>2</v>
      </c>
      <c r="F203" s="169">
        <f t="shared" si="52"/>
        <v>4</v>
      </c>
      <c r="G203" s="169">
        <f t="shared" si="52"/>
        <v>4</v>
      </c>
      <c r="H203" s="169">
        <f t="shared" si="52"/>
        <v>4</v>
      </c>
      <c r="I203" s="169">
        <f t="shared" si="52"/>
        <v>4</v>
      </c>
      <c r="J203" s="169">
        <f t="shared" si="52"/>
        <v>4</v>
      </c>
      <c r="K203" s="169">
        <f t="shared" si="52"/>
        <v>4</v>
      </c>
      <c r="L203" s="169">
        <f t="shared" si="52"/>
        <v>4</v>
      </c>
      <c r="M203" s="169">
        <f t="shared" si="52"/>
        <v>4</v>
      </c>
      <c r="N203" s="169">
        <f t="shared" si="52"/>
        <v>2</v>
      </c>
      <c r="O203" s="169">
        <f t="shared" si="52"/>
        <v>2</v>
      </c>
      <c r="P203" s="169">
        <f t="shared" si="52"/>
        <v>2</v>
      </c>
      <c r="Q203" s="169">
        <f t="shared" si="52"/>
        <v>2</v>
      </c>
      <c r="R203" s="169">
        <f t="shared" si="52"/>
        <v>2</v>
      </c>
      <c r="S203" s="169">
        <f t="shared" si="52"/>
        <v>2</v>
      </c>
      <c r="T203" s="169">
        <f t="shared" si="52"/>
        <v>4</v>
      </c>
      <c r="U203" s="169">
        <f t="shared" si="52"/>
        <v>4</v>
      </c>
      <c r="V203" s="169">
        <f t="shared" si="52"/>
        <v>2</v>
      </c>
      <c r="W203" s="169">
        <f t="shared" si="52"/>
        <v>2</v>
      </c>
      <c r="X203" s="169">
        <f t="shared" si="52"/>
        <v>2</v>
      </c>
      <c r="Y203" s="169">
        <f t="shared" si="52"/>
        <v>2</v>
      </c>
      <c r="Z203" s="169">
        <f t="shared" si="52"/>
        <v>2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2</v>
      </c>
      <c r="D212" s="169">
        <f t="shared" si="53"/>
        <v>2</v>
      </c>
      <c r="E212" s="169">
        <f t="shared" si="53"/>
        <v>2</v>
      </c>
      <c r="F212" s="169">
        <f t="shared" si="53"/>
        <v>4</v>
      </c>
      <c r="G212" s="169">
        <f t="shared" si="53"/>
        <v>4</v>
      </c>
      <c r="H212" s="169">
        <f t="shared" si="53"/>
        <v>4</v>
      </c>
      <c r="I212" s="169">
        <f t="shared" si="53"/>
        <v>4</v>
      </c>
      <c r="J212" s="169">
        <f t="shared" si="53"/>
        <v>4</v>
      </c>
      <c r="K212" s="169">
        <f t="shared" si="53"/>
        <v>4</v>
      </c>
      <c r="L212" s="169">
        <f t="shared" si="53"/>
        <v>4</v>
      </c>
      <c r="M212" s="169">
        <f t="shared" si="53"/>
        <v>4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4</v>
      </c>
      <c r="U212" s="169">
        <f t="shared" si="53"/>
        <v>4</v>
      </c>
      <c r="V212" s="169">
        <f t="shared" si="53"/>
        <v>2</v>
      </c>
      <c r="W212" s="169">
        <f t="shared" si="53"/>
        <v>2</v>
      </c>
      <c r="X212" s="169">
        <f t="shared" si="53"/>
        <v>2</v>
      </c>
      <c r="Y212" s="169">
        <f t="shared" si="53"/>
        <v>2</v>
      </c>
      <c r="Z212" s="169">
        <f t="shared" si="53"/>
        <v>2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0</v>
      </c>
      <c r="O213" s="169">
        <f t="shared" si="54"/>
        <v>0</v>
      </c>
      <c r="P213" s="169">
        <f t="shared" si="54"/>
        <v>0</v>
      </c>
      <c r="Q213" s="169">
        <f t="shared" si="54"/>
        <v>0</v>
      </c>
      <c r="R213" s="169">
        <f t="shared" si="54"/>
        <v>0</v>
      </c>
      <c r="S213" s="169">
        <f t="shared" si="54"/>
        <v>0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2</v>
      </c>
      <c r="D214" s="169">
        <f t="shared" si="55"/>
        <v>2</v>
      </c>
      <c r="E214" s="169">
        <f t="shared" si="55"/>
        <v>2</v>
      </c>
      <c r="F214" s="169">
        <f t="shared" si="55"/>
        <v>4</v>
      </c>
      <c r="G214" s="169">
        <f t="shared" si="55"/>
        <v>4</v>
      </c>
      <c r="H214" s="169">
        <f t="shared" si="55"/>
        <v>4</v>
      </c>
      <c r="I214" s="169">
        <f t="shared" si="55"/>
        <v>4</v>
      </c>
      <c r="J214" s="169">
        <f t="shared" si="55"/>
        <v>4</v>
      </c>
      <c r="K214" s="169">
        <f t="shared" si="55"/>
        <v>4</v>
      </c>
      <c r="L214" s="169">
        <f t="shared" si="55"/>
        <v>4</v>
      </c>
      <c r="M214" s="169">
        <f t="shared" si="55"/>
        <v>4</v>
      </c>
      <c r="N214" s="169">
        <f t="shared" si="55"/>
        <v>2</v>
      </c>
      <c r="O214" s="169">
        <f t="shared" si="55"/>
        <v>2</v>
      </c>
      <c r="P214" s="169">
        <f t="shared" si="55"/>
        <v>2</v>
      </c>
      <c r="Q214" s="169">
        <f t="shared" si="55"/>
        <v>2</v>
      </c>
      <c r="R214" s="169">
        <f t="shared" si="55"/>
        <v>2</v>
      </c>
      <c r="S214" s="169">
        <f t="shared" si="55"/>
        <v>2</v>
      </c>
      <c r="T214" s="169">
        <f t="shared" si="55"/>
        <v>4</v>
      </c>
      <c r="U214" s="169">
        <f t="shared" si="55"/>
        <v>4</v>
      </c>
      <c r="V214" s="169">
        <f t="shared" si="55"/>
        <v>2</v>
      </c>
      <c r="W214" s="169">
        <f t="shared" si="55"/>
        <v>2</v>
      </c>
      <c r="X214" s="169">
        <f t="shared" si="55"/>
        <v>2</v>
      </c>
      <c r="Y214" s="169">
        <f t="shared" si="55"/>
        <v>2</v>
      </c>
      <c r="Z214" s="169">
        <f t="shared" si="55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9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233</v>
      </c>
      <c r="BH4" s="169">
        <f>CdTrp1!N15</f>
        <v>233</v>
      </c>
      <c r="BI4" s="169">
        <f>CdTrp1!O15</f>
        <v>233</v>
      </c>
      <c r="BJ4" s="169">
        <f>CdTrp1!P15</f>
        <v>233</v>
      </c>
      <c r="BK4" s="169">
        <f>CdTrp1!Q15</f>
        <v>233</v>
      </c>
      <c r="BL4" s="169">
        <f>CdTrp1!R15</f>
        <v>233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0</v>
      </c>
      <c r="G5" s="169">
        <f t="shared" ref="G5:AD5" si="1">AV117</f>
        <v>0</v>
      </c>
      <c r="H5" s="169">
        <f t="shared" si="1"/>
        <v>0</v>
      </c>
      <c r="I5" s="169">
        <f t="shared" si="1"/>
        <v>0</v>
      </c>
      <c r="J5" s="169">
        <f t="shared" si="1"/>
        <v>0</v>
      </c>
      <c r="K5" s="169">
        <f t="shared" si="1"/>
        <v>0</v>
      </c>
      <c r="L5" s="169">
        <f t="shared" si="1"/>
        <v>0</v>
      </c>
      <c r="M5" s="169">
        <f t="shared" si="1"/>
        <v>0</v>
      </c>
      <c r="N5" s="169">
        <f t="shared" si="1"/>
        <v>0</v>
      </c>
      <c r="O5" s="169">
        <f t="shared" si="1"/>
        <v>0</v>
      </c>
      <c r="P5" s="169">
        <f t="shared" si="1"/>
        <v>0</v>
      </c>
      <c r="Q5" s="169">
        <f t="shared" si="1"/>
        <v>0</v>
      </c>
      <c r="R5" s="169">
        <f t="shared" si="1"/>
        <v>0</v>
      </c>
      <c r="S5" s="169">
        <f t="shared" si="1"/>
        <v>0</v>
      </c>
      <c r="T5" s="169">
        <f t="shared" si="1"/>
        <v>0</v>
      </c>
      <c r="U5" s="169">
        <f t="shared" si="1"/>
        <v>0</v>
      </c>
      <c r="V5" s="169">
        <f t="shared" si="1"/>
        <v>0</v>
      </c>
      <c r="W5" s="169">
        <f t="shared" si="1"/>
        <v>0</v>
      </c>
      <c r="X5" s="169">
        <f t="shared" si="1"/>
        <v>0</v>
      </c>
      <c r="Y5" s="169">
        <f t="shared" si="1"/>
        <v>0</v>
      </c>
      <c r="Z5" s="169">
        <f t="shared" si="1"/>
        <v>0</v>
      </c>
      <c r="AA5" s="169">
        <f t="shared" si="1"/>
        <v>0</v>
      </c>
      <c r="AB5" s="169">
        <f t="shared" si="1"/>
        <v>0</v>
      </c>
      <c r="AC5" s="169">
        <f t="shared" si="1"/>
        <v>0</v>
      </c>
      <c r="AD5" s="169">
        <f t="shared" si="1"/>
        <v>0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53.6</v>
      </c>
      <c r="BH6" s="169">
        <f>CdTrp1!N17</f>
        <v>53.6</v>
      </c>
      <c r="BI6" s="169">
        <f>CdTrp1!O17</f>
        <v>53.6</v>
      </c>
      <c r="BJ6" s="169">
        <f>CdTrp1!P17</f>
        <v>53.6</v>
      </c>
      <c r="BK6" s="169">
        <f>CdTrp1!Q17</f>
        <v>53.6</v>
      </c>
      <c r="BL6" s="169">
        <f>CdTrp1!R17</f>
        <v>53.6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5</v>
      </c>
      <c r="BN7" s="169">
        <f>CdTrp1!T18</f>
        <v>5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1221.1416874999998</v>
      </c>
      <c r="G9" s="30">
        <f t="shared" ref="G9:AD9" si="4">AV102</f>
        <v>51.681874999999998</v>
      </c>
      <c r="H9" s="30">
        <f t="shared" si="4"/>
        <v>51.623249999999999</v>
      </c>
      <c r="I9" s="30">
        <f t="shared" si="4"/>
        <v>51.564624999999999</v>
      </c>
      <c r="J9" s="30">
        <f t="shared" si="4"/>
        <v>51.506</v>
      </c>
      <c r="K9" s="30">
        <f t="shared" si="4"/>
        <v>51.447375000000001</v>
      </c>
      <c r="L9" s="30">
        <f t="shared" si="4"/>
        <v>51.418062499999998</v>
      </c>
      <c r="M9" s="30">
        <f t="shared" si="4"/>
        <v>51.388750000000002</v>
      </c>
      <c r="N9" s="30">
        <f t="shared" si="4"/>
        <v>51.359437499999999</v>
      </c>
      <c r="O9" s="30">
        <f t="shared" si="4"/>
        <v>51.330125000000002</v>
      </c>
      <c r="P9" s="30">
        <f t="shared" si="4"/>
        <v>51.300812499999999</v>
      </c>
      <c r="Q9" s="30">
        <f t="shared" si="4"/>
        <v>51.271499999999996</v>
      </c>
      <c r="R9" s="30">
        <f t="shared" si="4"/>
        <v>50.280999999999999</v>
      </c>
      <c r="S9" s="30">
        <f t="shared" si="4"/>
        <v>50.280999999999999</v>
      </c>
      <c r="T9" s="30">
        <f t="shared" si="4"/>
        <v>50.280999999999999</v>
      </c>
      <c r="U9" s="30">
        <f t="shared" si="4"/>
        <v>50.280999999999999</v>
      </c>
      <c r="V9" s="30">
        <f t="shared" si="4"/>
        <v>50.280999999999999</v>
      </c>
      <c r="W9" s="30">
        <f t="shared" si="4"/>
        <v>50.280999999999999</v>
      </c>
      <c r="X9" s="30">
        <f t="shared" si="4"/>
        <v>50.391249999999999</v>
      </c>
      <c r="Y9" s="30">
        <f t="shared" si="4"/>
        <v>50.391249999999999</v>
      </c>
      <c r="Z9" s="30">
        <f t="shared" si="4"/>
        <v>49.805875</v>
      </c>
      <c r="AA9" s="30">
        <f t="shared" si="4"/>
        <v>49.805875</v>
      </c>
      <c r="AB9" s="30">
        <f t="shared" si="4"/>
        <v>49.805875</v>
      </c>
      <c r="AC9" s="30">
        <f t="shared" si="4"/>
        <v>51.681874999999998</v>
      </c>
      <c r="AD9" s="30">
        <f t="shared" si="4"/>
        <v>51.681874999999998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1221.1416874999998</v>
      </c>
      <c r="G13" s="30">
        <f t="shared" ref="G13:AD13" si="7">SUM(G5:G11)</f>
        <v>51.681874999999998</v>
      </c>
      <c r="H13" s="30">
        <f t="shared" si="7"/>
        <v>51.623249999999999</v>
      </c>
      <c r="I13" s="30">
        <f t="shared" si="7"/>
        <v>51.564624999999999</v>
      </c>
      <c r="J13" s="30">
        <f t="shared" si="7"/>
        <v>51.506</v>
      </c>
      <c r="K13" s="30">
        <f t="shared" si="7"/>
        <v>51.447375000000001</v>
      </c>
      <c r="L13" s="30">
        <f t="shared" si="7"/>
        <v>51.418062499999998</v>
      </c>
      <c r="M13" s="30">
        <f t="shared" si="7"/>
        <v>51.388750000000002</v>
      </c>
      <c r="N13" s="30">
        <f t="shared" si="7"/>
        <v>51.359437499999999</v>
      </c>
      <c r="O13" s="30">
        <f t="shared" si="7"/>
        <v>51.330125000000002</v>
      </c>
      <c r="P13" s="30">
        <f t="shared" si="7"/>
        <v>51.300812499999999</v>
      </c>
      <c r="Q13" s="30">
        <f t="shared" si="7"/>
        <v>51.271499999999996</v>
      </c>
      <c r="R13" s="30">
        <f t="shared" si="7"/>
        <v>50.280999999999999</v>
      </c>
      <c r="S13" s="30">
        <f t="shared" si="7"/>
        <v>50.280999999999999</v>
      </c>
      <c r="T13" s="30">
        <f t="shared" si="7"/>
        <v>50.280999999999999</v>
      </c>
      <c r="U13" s="30">
        <f t="shared" si="7"/>
        <v>50.280999999999999</v>
      </c>
      <c r="V13" s="30">
        <f t="shared" si="7"/>
        <v>50.280999999999999</v>
      </c>
      <c r="W13" s="30">
        <f t="shared" si="7"/>
        <v>50.280999999999999</v>
      </c>
      <c r="X13" s="30">
        <f t="shared" si="7"/>
        <v>50.391249999999999</v>
      </c>
      <c r="Y13" s="30">
        <f t="shared" si="7"/>
        <v>50.391249999999999</v>
      </c>
      <c r="Z13" s="30">
        <f t="shared" si="7"/>
        <v>49.805875</v>
      </c>
      <c r="AA13" s="30">
        <f t="shared" si="7"/>
        <v>49.805875</v>
      </c>
      <c r="AB13" s="30">
        <f t="shared" si="7"/>
        <v>49.805875</v>
      </c>
      <c r="AC13" s="30">
        <f t="shared" si="7"/>
        <v>51.681874999999998</v>
      </c>
      <c r="AD13" s="30">
        <f t="shared" si="7"/>
        <v>51.681874999999998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1</v>
      </c>
      <c r="C16" s="186">
        <f>VALUE(LEFT(Scénario!K57,1))</f>
        <v>3</v>
      </c>
      <c r="D16" s="186">
        <f>IF(B16&gt;0,VLOOKUP(C16,[1]Trav!$A$86:$D$90,4),0)</f>
        <v>42</v>
      </c>
      <c r="E16" s="186">
        <f>Scénario!K54*2</f>
        <v>0</v>
      </c>
      <c r="F16" s="169">
        <f>IF(B16&gt;0,D16*E16/B16,0)</f>
        <v>0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lot5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0</v>
      </c>
      <c r="BH19" s="169">
        <f t="shared" si="23"/>
        <v>0</v>
      </c>
      <c r="BI19" s="169">
        <f t="shared" si="23"/>
        <v>0</v>
      </c>
      <c r="BJ19" s="169">
        <f t="shared" si="23"/>
        <v>0</v>
      </c>
      <c r="BK19" s="169">
        <f t="shared" si="23"/>
        <v>0</v>
      </c>
      <c r="BL19" s="169">
        <f t="shared" si="23"/>
        <v>0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fort</v>
      </c>
      <c r="AV27" s="169">
        <f t="shared" si="41"/>
        <v>2</v>
      </c>
      <c r="AW27" s="169">
        <f t="shared" si="41"/>
        <v>2</v>
      </c>
      <c r="AX27" s="169">
        <f t="shared" si="41"/>
        <v>2</v>
      </c>
      <c r="AY27" s="169">
        <f t="shared" si="41"/>
        <v>2</v>
      </c>
      <c r="AZ27" s="169">
        <f t="shared" si="41"/>
        <v>2</v>
      </c>
      <c r="BA27" s="169">
        <f t="shared" si="41"/>
        <v>2</v>
      </c>
      <c r="BB27" s="169">
        <f t="shared" si="41"/>
        <v>2</v>
      </c>
      <c r="BC27" s="169">
        <f t="shared" si="41"/>
        <v>2</v>
      </c>
      <c r="BD27" s="169">
        <f t="shared" si="41"/>
        <v>2</v>
      </c>
      <c r="BE27" s="169">
        <f t="shared" si="41"/>
        <v>2</v>
      </c>
      <c r="BF27" s="169">
        <f t="shared" si="42"/>
        <v>2</v>
      </c>
      <c r="BG27" s="169">
        <f t="shared" si="42"/>
        <v>2</v>
      </c>
      <c r="BH27" s="169">
        <f t="shared" si="42"/>
        <v>2</v>
      </c>
      <c r="BI27" s="169">
        <f t="shared" si="42"/>
        <v>2</v>
      </c>
      <c r="BJ27" s="169">
        <f t="shared" si="42"/>
        <v>2</v>
      </c>
      <c r="BK27" s="169">
        <f t="shared" si="42"/>
        <v>2</v>
      </c>
      <c r="BL27" s="169">
        <f t="shared" si="42"/>
        <v>2</v>
      </c>
      <c r="BM27" s="169">
        <f t="shared" si="42"/>
        <v>2</v>
      </c>
      <c r="BN27" s="169">
        <f t="shared" si="42"/>
        <v>2</v>
      </c>
      <c r="BO27" s="169">
        <f t="shared" si="42"/>
        <v>2</v>
      </c>
      <c r="BP27" s="169">
        <f t="shared" si="42"/>
        <v>2</v>
      </c>
      <c r="BQ27" s="169">
        <f t="shared" si="42"/>
        <v>2</v>
      </c>
      <c r="BR27" s="169">
        <f t="shared" si="42"/>
        <v>2</v>
      </c>
      <c r="BS27" s="169">
        <f t="shared" si="42"/>
        <v>2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fort</v>
      </c>
      <c r="AV29" s="169">
        <f t="shared" si="41"/>
        <v>2</v>
      </c>
      <c r="AW29" s="169">
        <f t="shared" si="41"/>
        <v>2</v>
      </c>
      <c r="AX29" s="169">
        <f t="shared" si="41"/>
        <v>2</v>
      </c>
      <c r="AY29" s="169">
        <f t="shared" si="41"/>
        <v>2</v>
      </c>
      <c r="AZ29" s="169">
        <f t="shared" si="41"/>
        <v>2</v>
      </c>
      <c r="BA29" s="169">
        <f t="shared" si="41"/>
        <v>2</v>
      </c>
      <c r="BB29" s="169">
        <f t="shared" si="41"/>
        <v>2</v>
      </c>
      <c r="BC29" s="169">
        <f t="shared" si="41"/>
        <v>2</v>
      </c>
      <c r="BD29" s="169">
        <f t="shared" si="41"/>
        <v>2</v>
      </c>
      <c r="BE29" s="169">
        <f t="shared" si="41"/>
        <v>2</v>
      </c>
      <c r="BF29" s="169">
        <f t="shared" si="42"/>
        <v>2</v>
      </c>
      <c r="BG29" s="169">
        <f t="shared" si="42"/>
        <v>2</v>
      </c>
      <c r="BH29" s="169">
        <f t="shared" si="42"/>
        <v>2</v>
      </c>
      <c r="BI29" s="169">
        <f t="shared" si="42"/>
        <v>2</v>
      </c>
      <c r="BJ29" s="169">
        <f t="shared" si="42"/>
        <v>2</v>
      </c>
      <c r="BK29" s="169">
        <f t="shared" si="42"/>
        <v>2</v>
      </c>
      <c r="BL29" s="169">
        <f t="shared" si="42"/>
        <v>2</v>
      </c>
      <c r="BM29" s="169">
        <f t="shared" si="42"/>
        <v>2</v>
      </c>
      <c r="BN29" s="169">
        <f t="shared" si="42"/>
        <v>2</v>
      </c>
      <c r="BO29" s="169">
        <f t="shared" si="42"/>
        <v>2</v>
      </c>
      <c r="BP29" s="169">
        <f t="shared" si="42"/>
        <v>2</v>
      </c>
      <c r="BQ29" s="169">
        <f t="shared" si="42"/>
        <v>2</v>
      </c>
      <c r="BR29" s="169">
        <f t="shared" si="42"/>
        <v>2</v>
      </c>
      <c r="BS29" s="169">
        <f t="shared" si="42"/>
        <v>2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lot5</v>
      </c>
      <c r="AU30" s="197" t="str">
        <f>Scénario!K100</f>
        <v>fort</v>
      </c>
      <c r="AV30" s="169">
        <f t="shared" si="41"/>
        <v>2</v>
      </c>
      <c r="AW30" s="169">
        <f t="shared" si="41"/>
        <v>2</v>
      </c>
      <c r="AX30" s="169">
        <f t="shared" si="41"/>
        <v>2</v>
      </c>
      <c r="AY30" s="169">
        <f t="shared" si="41"/>
        <v>2</v>
      </c>
      <c r="AZ30" s="169">
        <f t="shared" si="41"/>
        <v>2</v>
      </c>
      <c r="BA30" s="169">
        <f t="shared" si="41"/>
        <v>2</v>
      </c>
      <c r="BB30" s="169">
        <f t="shared" si="41"/>
        <v>2</v>
      </c>
      <c r="BC30" s="169">
        <f t="shared" si="41"/>
        <v>2</v>
      </c>
      <c r="BD30" s="169">
        <f t="shared" si="41"/>
        <v>2</v>
      </c>
      <c r="BE30" s="169">
        <f t="shared" si="41"/>
        <v>2</v>
      </c>
      <c r="BF30" s="169">
        <f t="shared" si="42"/>
        <v>2</v>
      </c>
      <c r="BG30" s="169">
        <f t="shared" si="42"/>
        <v>2</v>
      </c>
      <c r="BH30" s="169">
        <f t="shared" si="42"/>
        <v>2</v>
      </c>
      <c r="BI30" s="169">
        <f t="shared" si="42"/>
        <v>2</v>
      </c>
      <c r="BJ30" s="169">
        <f t="shared" si="42"/>
        <v>2</v>
      </c>
      <c r="BK30" s="169">
        <f t="shared" si="42"/>
        <v>2</v>
      </c>
      <c r="BL30" s="169">
        <f t="shared" si="42"/>
        <v>2</v>
      </c>
      <c r="BM30" s="169">
        <f t="shared" si="42"/>
        <v>2</v>
      </c>
      <c r="BN30" s="169">
        <f t="shared" si="42"/>
        <v>2</v>
      </c>
      <c r="BO30" s="169">
        <f t="shared" si="42"/>
        <v>2</v>
      </c>
      <c r="BP30" s="169">
        <f t="shared" si="42"/>
        <v>2</v>
      </c>
      <c r="BQ30" s="169">
        <f t="shared" si="42"/>
        <v>2</v>
      </c>
      <c r="BR30" s="169">
        <f t="shared" si="42"/>
        <v>2</v>
      </c>
      <c r="BS30" s="169">
        <f t="shared" si="42"/>
        <v>2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3</v>
      </c>
      <c r="BA37" s="169">
        <f>IF(CdTrp1!G52=1,3,IF(CdTrp1!G52=0.5,2,IF(CdTrp1!G52=0,1,0)))</f>
        <v>3</v>
      </c>
      <c r="BB37" s="169">
        <f>IF(CdTrp1!H52=1,3,IF(CdTrp1!H52=0.5,2,IF(CdTrp1!H52=0,1,0)))</f>
        <v>3</v>
      </c>
      <c r="BC37" s="169">
        <f>IF(CdTrp1!I52=1,3,IF(CdTrp1!I52=0.5,2,IF(CdTrp1!I52=0,1,0)))</f>
        <v>3</v>
      </c>
      <c r="BD37" s="169">
        <f>IF(CdTrp1!J52=1,3,IF(CdTrp1!J52=0.5,2,IF(CdTrp1!J52=0,1,0)))</f>
        <v>3</v>
      </c>
      <c r="BE37" s="169">
        <f>IF(CdTrp1!K52=1,3,IF(CdTrp1!K52=0.5,2,IF(CdTrp1!K52=0,1,0)))</f>
        <v>3</v>
      </c>
      <c r="BF37" s="169">
        <f>IF(CdTrp1!L52=1,3,IF(CdTrp1!L52=0.5,2,IF(CdTrp1!L52=0,1,0)))</f>
        <v>3</v>
      </c>
      <c r="BG37" s="169">
        <f>IF(CdTrp1!M52=1,3,IF(CdTrp1!M52=0.5,2,IF(CdTrp1!M52=0,1,0)))</f>
        <v>3</v>
      </c>
      <c r="BH37" s="169">
        <f>IF(CdTrp1!N52=1,3,IF(CdTrp1!N52=0.5,2,IF(CdTrp1!N52=0,1,0)))</f>
        <v>3</v>
      </c>
      <c r="BI37" s="169">
        <f>IF(CdTrp1!O52=1,3,IF(CdTrp1!O52=0.5,2,IF(CdTrp1!O52=0,1,0)))</f>
        <v>3</v>
      </c>
      <c r="BJ37" s="169">
        <f>IF(CdTrp1!P52=1,3,IF(CdTrp1!P52=0.5,2,IF(CdTrp1!P52=0,1,0)))</f>
        <v>3</v>
      </c>
      <c r="BK37" s="169">
        <f>IF(CdTrp1!Q52=1,3,IF(CdTrp1!Q52=0.5,2,IF(CdTrp1!Q52=0,1,0)))</f>
        <v>3</v>
      </c>
      <c r="BL37" s="169">
        <f>IF(CdTrp1!R52=1,3,IF(CdTrp1!R52=0.5,2,IF(CdTrp1!R52=0,1,0)))</f>
        <v>3</v>
      </c>
      <c r="BM37" s="169">
        <f>IF(CdTrp1!S52=1,3,IF(CdTrp1!S52=0.5,2,IF(CdTrp1!S52=0,1,0)))</f>
        <v>3</v>
      </c>
      <c r="BN37" s="169">
        <f>IF(CdTrp1!T52=1,3,IF(CdTrp1!T52=0.5,2,IF(CdTrp1!T52=0,1,0)))</f>
        <v>3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3</v>
      </c>
      <c r="BC38" s="169">
        <f>IF(CdTrp1!I53=1,3,IF(CdTrp1!I53=0.5,2,IF(CdTrp1!I53=0,1,0)))</f>
        <v>3</v>
      </c>
      <c r="BD38" s="169">
        <f>IF(CdTrp1!J53=1,3,IF(CdTrp1!J53=0.5,2,IF(CdTrp1!J53=0,1,0)))</f>
        <v>3</v>
      </c>
      <c r="BE38" s="169">
        <f>IF(CdTrp1!K53=1,3,IF(CdTrp1!K53=0.5,2,IF(CdTrp1!K53=0,1,0)))</f>
        <v>3</v>
      </c>
      <c r="BF38" s="169">
        <f>IF(CdTrp1!L53=1,3,IF(CdTrp1!L53=0.5,2,IF(CdTrp1!L53=0,1,0)))</f>
        <v>3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3</v>
      </c>
      <c r="BN38" s="169">
        <f>IF(CdTrp1!T53=1,3,IF(CdTrp1!T53=0.5,2,IF(CdTrp1!T53=0,1,0)))</f>
        <v>3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3</v>
      </c>
      <c r="BB40" s="169">
        <f>IF(CdTrp1!H55=1,3,IF(CdTrp1!H55=0.5,2,IF(CdTrp1!H55=0,1,0)))</f>
        <v>3</v>
      </c>
      <c r="BC40" s="169">
        <f>IF(CdTrp1!I55=1,3,IF(CdTrp1!I55=0.5,2,IF(CdTrp1!I55=0,1,0)))</f>
        <v>3</v>
      </c>
      <c r="BD40" s="169">
        <f>IF(CdTrp1!J55=1,3,IF(CdTrp1!J55=0.5,2,IF(CdTrp1!J55=0,1,0)))</f>
        <v>3</v>
      </c>
      <c r="BE40" s="169">
        <f>IF(CdTrp1!K55=1,3,IF(CdTrp1!K55=0.5,2,IF(CdTrp1!K55=0,1,0)))</f>
        <v>3</v>
      </c>
      <c r="BF40" s="169">
        <f>IF(CdTrp1!L55=1,3,IF(CdTrp1!L55=0.5,2,IF(CdTrp1!L55=0,1,0)))</f>
        <v>3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3</v>
      </c>
      <c r="BN40" s="169">
        <f>IF(CdTrp1!T55=1,3,IF(CdTrp1!T55=0.5,2,IF(CdTrp1!T55=0,1,0)))</f>
        <v>3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1</v>
      </c>
      <c r="AW49" s="169">
        <f>IF(CdTrp1!C77=1,1,IF(CdTrp1!C77=2,2,IF(CdTrp1!C77=3,2,0)))</f>
        <v>1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1</v>
      </c>
      <c r="BA49" s="169">
        <f>IF(CdTrp1!G77=1,1,IF(CdTrp1!G77=2,2,IF(CdTrp1!G77=3,2,0)))</f>
        <v>1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1</v>
      </c>
      <c r="BQ49" s="169">
        <f>IF(CdTrp1!W77=1,1,IF(CdTrp1!W77=2,2,IF(CdTrp1!W77=3,2,0)))</f>
        <v>1</v>
      </c>
      <c r="BR49" s="169">
        <f>IF(CdTrp1!X77=1,1,IF(CdTrp1!X77=2,2,IF(CdTrp1!X77=3,2,0)))</f>
        <v>1</v>
      </c>
      <c r="BS49" s="169">
        <f>IF(CdTrp1!Y77=1,1,IF(CdTrp1!Y77=2,2,IF(CdTrp1!Y77=3,2,0)))</f>
        <v>1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11.8</v>
      </c>
      <c r="C55" s="186">
        <f>IF(B55&gt;[1]Trav!E121,[1]Trav!C121,[1]Trav!B121)</f>
        <v>7.2</v>
      </c>
      <c r="D55"/>
      <c r="E55" s="168"/>
      <c r="F55" s="169">
        <f t="shared" si="54"/>
        <v>85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11.8</v>
      </c>
      <c r="C56" s="186">
        <f>IF(B56&gt;[1]Trav!E121,[1]Trav!C121,[1]Trav!B121)</f>
        <v>7.2</v>
      </c>
      <c r="D56"/>
      <c r="E56" s="168"/>
      <c r="F56" s="169">
        <f t="shared" si="54"/>
        <v>85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0</v>
      </c>
      <c r="C57" s="186">
        <f>IF(B57&gt;[1]Trav!E121,[1]Trav!C121,[1]Trav!B121)</f>
        <v>7.2</v>
      </c>
      <c r="D57"/>
      <c r="E57" s="168"/>
      <c r="F57" s="169">
        <f t="shared" si="54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13.4</v>
      </c>
      <c r="C59" s="186">
        <f>[1]Trav!$B$123</f>
        <v>7.2</v>
      </c>
      <c r="E59" s="168"/>
      <c r="F59" s="169">
        <f t="shared" si="54"/>
        <v>96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0</v>
      </c>
      <c r="BC60" s="169">
        <f>IF(BC15=0,0,IF(BC37=3,0,VALUE(CONCATENATE(Travail!BC26,Travail!BC37,Travail!BC48))))</f>
        <v>0</v>
      </c>
      <c r="BD60" s="169">
        <f>IF(BD15=0,0,IF(BD37=3,0,VALUE(CONCATENATE(Travail!BD26,Travail!BD37,Travail!BD48))))</f>
        <v>0</v>
      </c>
      <c r="BE60" s="169">
        <f>IF(BE15=0,0,IF(BE37=3,0,VALUE(CONCATENATE(Travail!BE26,Travail!BE37,Travail!BE48))))</f>
        <v>0</v>
      </c>
      <c r="BF60" s="169">
        <f>IF(BF15=0,0,IF(BF37=3,0,VALUE(CONCATENATE(Travail!BF26,Travail!BF37,Travail!BF48))))</f>
        <v>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0</v>
      </c>
      <c r="BC61" s="169">
        <f>IF(BC16=0,0,IF(BC38=3,0,VALUE(CONCATENATE(Travail!BC27,Travail!BC38,Travail!BC49))))</f>
        <v>0</v>
      </c>
      <c r="BD61" s="169">
        <f>IF(BD16=0,0,IF(BD38=3,0,VALUE(CONCATENATE(Travail!BD27,Travail!BD38,Travail!BD49))))</f>
        <v>0</v>
      </c>
      <c r="BE61" s="169">
        <f>IF(BE16=0,0,IF(BE38=3,0,VALUE(CONCATENATE(Travail!BE27,Travail!BE38,Travail!BE49))))</f>
        <v>0</v>
      </c>
      <c r="BF61" s="169">
        <f>IF(BF16=0,0,IF(BF38=3,0,VALUE(CONCATENATE(Travail!BF27,Travail!BF38,Travail!BF49))))</f>
        <v>0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0</v>
      </c>
      <c r="BN61" s="169">
        <f>IF(BN16=0,0,IF(BN38=3,0,VALUE(CONCATENATE(Travail!BN27,Travail!BN38,Travail!BN49))))</f>
        <v>0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23</v>
      </c>
      <c r="AZ71" s="169">
        <f t="shared" si="59"/>
        <v>23</v>
      </c>
      <c r="BA71" s="169">
        <f t="shared" si="59"/>
        <v>23</v>
      </c>
      <c r="BB71" s="169">
        <f t="shared" si="59"/>
        <v>23</v>
      </c>
      <c r="BC71" s="169">
        <f t="shared" si="59"/>
        <v>23</v>
      </c>
      <c r="BD71" s="169">
        <f t="shared" si="59"/>
        <v>23</v>
      </c>
      <c r="BE71" s="169">
        <f t="shared" si="59"/>
        <v>23</v>
      </c>
      <c r="BF71" s="169">
        <f t="shared" si="59"/>
        <v>23</v>
      </c>
      <c r="BG71" s="169">
        <f t="shared" si="59"/>
        <v>23</v>
      </c>
      <c r="BH71" s="169">
        <f t="shared" si="59"/>
        <v>23</v>
      </c>
      <c r="BI71" s="169">
        <f t="shared" si="59"/>
        <v>23</v>
      </c>
      <c r="BJ71" s="169">
        <f t="shared" si="59"/>
        <v>23</v>
      </c>
      <c r="BK71" s="169">
        <f t="shared" si="59"/>
        <v>23</v>
      </c>
      <c r="BL71" s="169">
        <f t="shared" si="59"/>
        <v>23</v>
      </c>
      <c r="BM71" s="169">
        <f t="shared" si="59"/>
        <v>23</v>
      </c>
      <c r="BN71" s="169">
        <f t="shared" si="59"/>
        <v>23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23</v>
      </c>
      <c r="AW72" s="169">
        <f t="shared" si="64"/>
        <v>23</v>
      </c>
      <c r="AX72" s="169">
        <f t="shared" si="64"/>
        <v>23</v>
      </c>
      <c r="AY72" s="169">
        <f t="shared" si="64"/>
        <v>23</v>
      </c>
      <c r="AZ72" s="169">
        <f t="shared" si="64"/>
        <v>23</v>
      </c>
      <c r="BA72" s="169">
        <f t="shared" si="64"/>
        <v>23</v>
      </c>
      <c r="BB72" s="169">
        <f t="shared" si="64"/>
        <v>23</v>
      </c>
      <c r="BC72" s="169">
        <f t="shared" si="64"/>
        <v>23</v>
      </c>
      <c r="BD72" s="169">
        <f t="shared" si="64"/>
        <v>23</v>
      </c>
      <c r="BE72" s="169">
        <f t="shared" si="64"/>
        <v>23</v>
      </c>
      <c r="BF72" s="169">
        <f t="shared" si="64"/>
        <v>23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23</v>
      </c>
      <c r="BN72" s="169">
        <f t="shared" si="64"/>
        <v>23</v>
      </c>
      <c r="BO72" s="169">
        <f t="shared" si="64"/>
        <v>23</v>
      </c>
      <c r="BP72" s="169">
        <f t="shared" si="64"/>
        <v>23</v>
      </c>
      <c r="BQ72" s="169">
        <f t="shared" si="64"/>
        <v>23</v>
      </c>
      <c r="BR72" s="169">
        <f t="shared" si="64"/>
        <v>23</v>
      </c>
      <c r="BS72" s="169">
        <f t="shared" si="64"/>
        <v>23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23</v>
      </c>
      <c r="BC73" s="169">
        <f t="shared" si="67"/>
        <v>23</v>
      </c>
      <c r="BD73" s="169">
        <f t="shared" si="67"/>
        <v>23</v>
      </c>
      <c r="BE73" s="169">
        <f t="shared" si="67"/>
        <v>23</v>
      </c>
      <c r="BF73" s="169">
        <f t="shared" si="67"/>
        <v>23</v>
      </c>
      <c r="BG73" s="169">
        <f t="shared" si="67"/>
        <v>23</v>
      </c>
      <c r="BH73" s="169">
        <f t="shared" si="67"/>
        <v>23</v>
      </c>
      <c r="BI73" s="169">
        <f t="shared" si="67"/>
        <v>23</v>
      </c>
      <c r="BJ73" s="169">
        <f t="shared" si="67"/>
        <v>23</v>
      </c>
      <c r="BK73" s="169">
        <f t="shared" si="67"/>
        <v>23</v>
      </c>
      <c r="BL73" s="169">
        <f t="shared" si="67"/>
        <v>23</v>
      </c>
      <c r="BM73" s="169">
        <f t="shared" si="67"/>
        <v>23</v>
      </c>
      <c r="BN73" s="169">
        <f t="shared" si="67"/>
        <v>23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23</v>
      </c>
      <c r="AW74" s="169">
        <f t="shared" si="70"/>
        <v>23</v>
      </c>
      <c r="AX74" s="169">
        <f t="shared" si="70"/>
        <v>23</v>
      </c>
      <c r="AY74" s="169">
        <f t="shared" si="70"/>
        <v>23</v>
      </c>
      <c r="AZ74" s="169">
        <f t="shared" si="70"/>
        <v>23</v>
      </c>
      <c r="BA74" s="169">
        <f t="shared" si="70"/>
        <v>23</v>
      </c>
      <c r="BB74" s="169">
        <f t="shared" si="70"/>
        <v>23</v>
      </c>
      <c r="BC74" s="169">
        <f t="shared" si="70"/>
        <v>23</v>
      </c>
      <c r="BD74" s="169">
        <f t="shared" si="70"/>
        <v>23</v>
      </c>
      <c r="BE74" s="169">
        <f t="shared" si="70"/>
        <v>23</v>
      </c>
      <c r="BF74" s="169">
        <f t="shared" si="70"/>
        <v>23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23</v>
      </c>
      <c r="BN74" s="169">
        <f t="shared" si="70"/>
        <v>23</v>
      </c>
      <c r="BO74" s="169">
        <f t="shared" si="70"/>
        <v>23</v>
      </c>
      <c r="BP74" s="169">
        <f t="shared" si="70"/>
        <v>23</v>
      </c>
      <c r="BQ74" s="169">
        <f t="shared" si="70"/>
        <v>23</v>
      </c>
      <c r="BR74" s="169">
        <f t="shared" si="70"/>
        <v>23</v>
      </c>
      <c r="BS74" s="169">
        <f t="shared" si="70"/>
        <v>23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84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lot5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0</v>
      </c>
      <c r="BH75" s="169">
        <f t="shared" si="73"/>
        <v>0</v>
      </c>
      <c r="BI75" s="169">
        <f t="shared" si="73"/>
        <v>0</v>
      </c>
      <c r="BJ75" s="169">
        <f t="shared" si="73"/>
        <v>0</v>
      </c>
      <c r="BK75" s="169">
        <f t="shared" si="73"/>
        <v>0</v>
      </c>
      <c r="BL75" s="169">
        <f t="shared" si="73"/>
        <v>0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0</v>
      </c>
      <c r="S76" s="193">
        <f>IF(Protection!O196=0,0,[1]Protect!$B$9*Protection!O196*14)</f>
        <v>0</v>
      </c>
      <c r="T76" s="193">
        <f>IF(Protection!P196=0,0,[1]Protect!$B$9*Protection!P196*14)</f>
        <v>0</v>
      </c>
      <c r="U76" s="193">
        <f>IF(Protection!Q196=0,0,[1]Protect!$B$9*Protection!Q196*14)</f>
        <v>0</v>
      </c>
      <c r="V76" s="193">
        <f>IF(Protection!R196=0,0,[1]Protect!$B$9*Protection!R196*14)</f>
        <v>0</v>
      </c>
      <c r="W76" s="193">
        <f>IF(Protection!S196=0,0,[1]Protect!$B$9*Protection!S196*14)</f>
        <v>0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84</v>
      </c>
      <c r="G77" s="46">
        <f t="shared" ref="G77:AD77" si="79">+SUM(G69:G76)</f>
        <v>3.5</v>
      </c>
      <c r="H77" s="46">
        <f t="shared" si="79"/>
        <v>3.5</v>
      </c>
      <c r="I77" s="46">
        <f t="shared" si="79"/>
        <v>3.5</v>
      </c>
      <c r="J77" s="46">
        <f t="shared" si="79"/>
        <v>3.5</v>
      </c>
      <c r="K77" s="46">
        <f t="shared" si="79"/>
        <v>3.5</v>
      </c>
      <c r="L77" s="46">
        <f t="shared" si="79"/>
        <v>3.5</v>
      </c>
      <c r="M77" s="46">
        <f t="shared" si="79"/>
        <v>3.5</v>
      </c>
      <c r="N77" s="46">
        <f t="shared" si="79"/>
        <v>3.5</v>
      </c>
      <c r="O77" s="46">
        <f t="shared" si="79"/>
        <v>3.5</v>
      </c>
      <c r="P77" s="46">
        <f t="shared" si="79"/>
        <v>3.5</v>
      </c>
      <c r="Q77" s="46">
        <f t="shared" si="79"/>
        <v>3.5</v>
      </c>
      <c r="R77" s="46">
        <f t="shared" si="79"/>
        <v>3.5</v>
      </c>
      <c r="S77" s="46">
        <f t="shared" si="79"/>
        <v>3.5</v>
      </c>
      <c r="T77" s="46">
        <f t="shared" si="79"/>
        <v>3.5</v>
      </c>
      <c r="U77" s="46">
        <f t="shared" si="79"/>
        <v>3.5</v>
      </c>
      <c r="V77" s="46">
        <f t="shared" si="79"/>
        <v>3.5</v>
      </c>
      <c r="W77" s="46">
        <f t="shared" si="79"/>
        <v>3.5</v>
      </c>
      <c r="X77" s="46">
        <f t="shared" si="79"/>
        <v>3.5</v>
      </c>
      <c r="Y77" s="46">
        <f t="shared" si="79"/>
        <v>3.5</v>
      </c>
      <c r="Z77" s="46">
        <f t="shared" si="79"/>
        <v>3.5</v>
      </c>
      <c r="AA77" s="46">
        <f t="shared" si="79"/>
        <v>3.5</v>
      </c>
      <c r="AB77" s="46">
        <f t="shared" si="79"/>
        <v>3.5</v>
      </c>
      <c r="AC77" s="46">
        <f t="shared" si="79"/>
        <v>3.5</v>
      </c>
      <c r="AD77" s="46">
        <f t="shared" si="79"/>
        <v>3.5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0.28999999999999998</v>
      </c>
      <c r="C81" s="186">
        <f>[1]Protect!$B$10</f>
        <v>4</v>
      </c>
      <c r="D81" s="168"/>
      <c r="E81" s="168"/>
      <c r="F81" s="169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4</v>
      </c>
      <c r="AW81" s="169">
        <f t="shared" si="92"/>
        <v>4</v>
      </c>
      <c r="AX81" s="169">
        <f t="shared" si="92"/>
        <v>4</v>
      </c>
      <c r="AY81" s="169">
        <f t="shared" si="92"/>
        <v>4</v>
      </c>
      <c r="AZ81" s="169">
        <f t="shared" si="92"/>
        <v>4</v>
      </c>
      <c r="BA81" s="169">
        <f t="shared" si="92"/>
        <v>4</v>
      </c>
      <c r="BB81" s="169">
        <f t="shared" si="92"/>
        <v>4</v>
      </c>
      <c r="BC81" s="169">
        <f t="shared" si="92"/>
        <v>4</v>
      </c>
      <c r="BD81" s="169">
        <f t="shared" si="92"/>
        <v>4</v>
      </c>
      <c r="BE81" s="169">
        <f t="shared" si="92"/>
        <v>4</v>
      </c>
      <c r="BF81" s="169">
        <f t="shared" si="92"/>
        <v>4</v>
      </c>
      <c r="BG81" s="169">
        <f t="shared" si="92"/>
        <v>2</v>
      </c>
      <c r="BH81" s="169">
        <f t="shared" si="92"/>
        <v>2</v>
      </c>
      <c r="BI81" s="169">
        <f t="shared" si="92"/>
        <v>2</v>
      </c>
      <c r="BJ81" s="169">
        <f t="shared" si="92"/>
        <v>2</v>
      </c>
      <c r="BK81" s="169">
        <f t="shared" si="92"/>
        <v>2</v>
      </c>
      <c r="BL81" s="169">
        <f t="shared" si="92"/>
        <v>2</v>
      </c>
      <c r="BM81" s="169">
        <f t="shared" si="92"/>
        <v>4</v>
      </c>
      <c r="BN81" s="169">
        <f t="shared" si="92"/>
        <v>4</v>
      </c>
      <c r="BO81" s="169">
        <f t="shared" si="92"/>
        <v>3</v>
      </c>
      <c r="BP81" s="169">
        <f t="shared" si="92"/>
        <v>3</v>
      </c>
      <c r="BQ81" s="169">
        <f t="shared" si="92"/>
        <v>3</v>
      </c>
      <c r="BR81" s="169">
        <f t="shared" si="92"/>
        <v>4</v>
      </c>
      <c r="BS81" s="169">
        <f t="shared" si="92"/>
        <v>4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0</v>
      </c>
      <c r="C83" s="186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0</v>
      </c>
      <c r="AW83" s="169">
        <f t="shared" si="98"/>
        <v>0</v>
      </c>
      <c r="AX83" s="169">
        <f t="shared" si="98"/>
        <v>0</v>
      </c>
      <c r="AY83" s="169">
        <f t="shared" si="98"/>
        <v>0</v>
      </c>
      <c r="AZ83" s="169">
        <f t="shared" si="98"/>
        <v>0</v>
      </c>
      <c r="BA83" s="169">
        <f t="shared" si="98"/>
        <v>0</v>
      </c>
      <c r="BB83" s="169">
        <f t="shared" si="98"/>
        <v>0</v>
      </c>
      <c r="BC83" s="169">
        <f t="shared" si="98"/>
        <v>0</v>
      </c>
      <c r="BD83" s="169">
        <f t="shared" si="98"/>
        <v>0</v>
      </c>
      <c r="BE83" s="169">
        <f t="shared" si="98"/>
        <v>0</v>
      </c>
      <c r="BF83" s="169">
        <f t="shared" si="98"/>
        <v>0</v>
      </c>
      <c r="BG83" s="169">
        <f t="shared" si="98"/>
        <v>0</v>
      </c>
      <c r="BH83" s="169">
        <f t="shared" si="98"/>
        <v>0</v>
      </c>
      <c r="BI83" s="169">
        <f t="shared" si="98"/>
        <v>0</v>
      </c>
      <c r="BJ83" s="169">
        <f t="shared" si="98"/>
        <v>0</v>
      </c>
      <c r="BK83" s="169">
        <f t="shared" si="98"/>
        <v>0</v>
      </c>
      <c r="BL83" s="169">
        <f t="shared" si="98"/>
        <v>0</v>
      </c>
      <c r="BM83" s="169">
        <f t="shared" si="98"/>
        <v>0</v>
      </c>
      <c r="BN83" s="169">
        <f t="shared" si="98"/>
        <v>0</v>
      </c>
      <c r="BO83" s="169">
        <f t="shared" si="98"/>
        <v>0</v>
      </c>
      <c r="BP83" s="169">
        <f t="shared" si="98"/>
        <v>0</v>
      </c>
      <c r="BQ83" s="169">
        <f t="shared" si="98"/>
        <v>0</v>
      </c>
      <c r="BR83" s="169">
        <f t="shared" si="98"/>
        <v>0</v>
      </c>
      <c r="BS83" s="169">
        <f t="shared" si="98"/>
        <v>0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23</v>
      </c>
      <c r="BC85" s="62">
        <f t="shared" si="104"/>
        <v>23</v>
      </c>
      <c r="BD85" s="62">
        <f t="shared" si="104"/>
        <v>23</v>
      </c>
      <c r="BE85" s="62">
        <f t="shared" si="104"/>
        <v>23</v>
      </c>
      <c r="BF85" s="62">
        <f t="shared" si="104"/>
        <v>23</v>
      </c>
      <c r="BG85" s="62">
        <f t="shared" si="104"/>
        <v>23</v>
      </c>
      <c r="BH85" s="62">
        <f t="shared" si="104"/>
        <v>23</v>
      </c>
      <c r="BI85" s="62">
        <f t="shared" si="104"/>
        <v>23</v>
      </c>
      <c r="BJ85" s="62">
        <f t="shared" si="104"/>
        <v>23</v>
      </c>
      <c r="BK85" s="62">
        <f t="shared" si="104"/>
        <v>23</v>
      </c>
      <c r="BL85" s="62">
        <f t="shared" si="104"/>
        <v>23</v>
      </c>
      <c r="BM85" s="62">
        <f t="shared" si="104"/>
        <v>23</v>
      </c>
      <c r="BN85" s="62">
        <f t="shared" si="104"/>
        <v>23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0</v>
      </c>
      <c r="C86" s="170"/>
      <c r="D86" s="170"/>
      <c r="E86" s="170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42</v>
      </c>
      <c r="BH86" s="186">
        <f>IF(BH85=0,0,HLOOKUP(BH85,[1]Trav!$C$39:$G$59,$AU$105))</f>
        <v>42</v>
      </c>
      <c r="BI86" s="186">
        <f>IF(BI85=0,0,HLOOKUP(BI85,[1]Trav!$C$39:$G$59,$AU$105))</f>
        <v>42</v>
      </c>
      <c r="BJ86" s="186">
        <f>IF(BJ85=0,0,HLOOKUP(BJ85,[1]Trav!$C$39:$G$59,$AU$105))</f>
        <v>42</v>
      </c>
      <c r="BK86" s="186">
        <f>IF(BK85=0,0,HLOOKUP(BK85,[1]Trav!$C$39:$G$59,$AU$105))</f>
        <v>42</v>
      </c>
      <c r="BL86" s="186">
        <f>IF(BL85=0,0,HLOOKUP(BL85,[1]Trav!$C$39:$G$59,$AU$105))</f>
        <v>42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1.75</v>
      </c>
      <c r="BH87" s="186">
        <f>IF(BH85=0,0,HLOOKUP(BH85,[1]Trav!$C$62:$G$82,$AU$105))</f>
        <v>1.75</v>
      </c>
      <c r="BI87" s="186">
        <f>IF(BI85=0,0,HLOOKUP(BI85,[1]Trav!$C$62:$G$82,$AU$105))</f>
        <v>1.75</v>
      </c>
      <c r="BJ87" s="186">
        <f>IF(BJ85=0,0,HLOOKUP(BJ85,[1]Trav!$C$62:$G$82,$AU$105))</f>
        <v>1.75</v>
      </c>
      <c r="BK87" s="186">
        <f>IF(BK85=0,0,HLOOKUP(BK85,[1]Trav!$C$62:$G$82,$AU$105))</f>
        <v>1.75</v>
      </c>
      <c r="BL87" s="186">
        <f>IF(BL85=0,0,HLOOKUP(BL85,[1]Trav!$C$62:$G$82,$AU$105))</f>
        <v>1.75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190.11250000000001</v>
      </c>
      <c r="BG90" s="169">
        <f t="shared" si="108"/>
        <v>233</v>
      </c>
      <c r="BH90" s="169">
        <f t="shared" si="108"/>
        <v>233</v>
      </c>
      <c r="BI90" s="169">
        <f t="shared" si="108"/>
        <v>233</v>
      </c>
      <c r="BJ90" s="169">
        <f t="shared" si="108"/>
        <v>233</v>
      </c>
      <c r="BK90" s="169">
        <f t="shared" si="108"/>
        <v>233</v>
      </c>
      <c r="BL90" s="169">
        <f t="shared" si="108"/>
        <v>233</v>
      </c>
      <c r="BM90" s="169">
        <f t="shared" si="108"/>
        <v>177.55</v>
      </c>
      <c r="BN90" s="169">
        <f t="shared" si="108"/>
        <v>177.55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1221.1416874999998</v>
      </c>
      <c r="C91" s="5"/>
      <c r="D91" s="184">
        <f>B91/Troupeau!$B$17</f>
        <v>4.5564988339552226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66.162499999999994</v>
      </c>
      <c r="AW91" s="169">
        <f t="shared" si="113"/>
        <v>66.162499999999994</v>
      </c>
      <c r="AX91" s="169">
        <f t="shared" si="113"/>
        <v>66.162499999999994</v>
      </c>
      <c r="AY91" s="169">
        <f t="shared" si="113"/>
        <v>66.162499999999994</v>
      </c>
      <c r="AZ91" s="169">
        <f t="shared" si="113"/>
        <v>66.162499999999994</v>
      </c>
      <c r="BA91" s="169">
        <f t="shared" si="113"/>
        <v>66.162499999999994</v>
      </c>
      <c r="BB91" s="169">
        <f t="shared" si="113"/>
        <v>66.162499999999994</v>
      </c>
      <c r="BC91" s="169">
        <f t="shared" si="113"/>
        <v>66.162499999999994</v>
      </c>
      <c r="BD91" s="169">
        <f t="shared" si="113"/>
        <v>66.162499999999994</v>
      </c>
      <c r="BE91" s="169">
        <f t="shared" si="113"/>
        <v>66.162499999999994</v>
      </c>
      <c r="BF91" s="169">
        <f t="shared" si="113"/>
        <v>66.162499999999994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53.6</v>
      </c>
      <c r="BN91" s="169">
        <f t="shared" si="113"/>
        <v>53.6</v>
      </c>
      <c r="BO91" s="169">
        <f t="shared" si="113"/>
        <v>53.6</v>
      </c>
      <c r="BP91" s="169">
        <f t="shared" si="113"/>
        <v>66.162499999999994</v>
      </c>
      <c r="BQ91" s="169">
        <f t="shared" si="113"/>
        <v>66.162499999999994</v>
      </c>
      <c r="BR91" s="169">
        <f t="shared" si="113"/>
        <v>66.162499999999994</v>
      </c>
      <c r="BS91" s="169">
        <f t="shared" si="113"/>
        <v>66.162499999999994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53.6</v>
      </c>
      <c r="BH92" s="169">
        <f t="shared" si="116"/>
        <v>53.6</v>
      </c>
      <c r="BI92" s="169">
        <f t="shared" si="116"/>
        <v>53.6</v>
      </c>
      <c r="BJ92" s="169">
        <f t="shared" si="116"/>
        <v>53.6</v>
      </c>
      <c r="BK92" s="169">
        <f t="shared" si="116"/>
        <v>53.6</v>
      </c>
      <c r="BL92" s="169">
        <f t="shared" si="116"/>
        <v>53.6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5.0250000000000004</v>
      </c>
      <c r="AW93" s="169">
        <f t="shared" si="119"/>
        <v>5.0250000000000004</v>
      </c>
      <c r="AX93" s="169">
        <f t="shared" si="119"/>
        <v>5.0250000000000004</v>
      </c>
      <c r="AY93" s="169">
        <f t="shared" si="119"/>
        <v>5.0250000000000004</v>
      </c>
      <c r="AZ93" s="169">
        <f t="shared" si="119"/>
        <v>5.0250000000000004</v>
      </c>
      <c r="BA93" s="169">
        <f t="shared" si="119"/>
        <v>5.0250000000000004</v>
      </c>
      <c r="BB93" s="169">
        <f t="shared" si="119"/>
        <v>5.0250000000000004</v>
      </c>
      <c r="BC93" s="169">
        <f t="shared" si="119"/>
        <v>5.0250000000000004</v>
      </c>
      <c r="BD93" s="169">
        <f t="shared" si="119"/>
        <v>5.0250000000000004</v>
      </c>
      <c r="BE93" s="169">
        <f t="shared" si="119"/>
        <v>5.0250000000000004</v>
      </c>
      <c r="BF93" s="169">
        <f t="shared" si="119"/>
        <v>5.0250000000000004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5</v>
      </c>
      <c r="BN93" s="169">
        <f t="shared" si="119"/>
        <v>5</v>
      </c>
      <c r="BO93" s="169">
        <f t="shared" si="119"/>
        <v>5.0250000000000004</v>
      </c>
      <c r="BP93" s="169">
        <f t="shared" si="119"/>
        <v>5.0250000000000004</v>
      </c>
      <c r="BQ93" s="169">
        <f t="shared" si="119"/>
        <v>5.0250000000000004</v>
      </c>
      <c r="BR93" s="169">
        <f t="shared" si="119"/>
        <v>5.0250000000000004</v>
      </c>
      <c r="BS93" s="169">
        <f t="shared" si="119"/>
        <v>5.0250000000000004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1221.1416874999998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lot5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0</v>
      </c>
      <c r="BH94" s="169">
        <f t="shared" si="122"/>
        <v>0</v>
      </c>
      <c r="BI94" s="169">
        <f t="shared" si="122"/>
        <v>0</v>
      </c>
      <c r="BJ94" s="169">
        <f t="shared" si="122"/>
        <v>0</v>
      </c>
      <c r="BK94" s="169">
        <f t="shared" si="122"/>
        <v>0</v>
      </c>
      <c r="BL94" s="169">
        <f t="shared" si="122"/>
        <v>0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0</v>
      </c>
      <c r="C95" s="5"/>
      <c r="D95" s="184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0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326.625</v>
      </c>
      <c r="AW99" s="62">
        <f t="shared" si="137"/>
        <v>324.95</v>
      </c>
      <c r="AX99" s="62">
        <f t="shared" si="137"/>
        <v>323.27499999999998</v>
      </c>
      <c r="AY99" s="62">
        <f t="shared" si="137"/>
        <v>321.60000000000002</v>
      </c>
      <c r="AZ99" s="62">
        <f t="shared" si="137"/>
        <v>319.92499999999995</v>
      </c>
      <c r="BA99" s="62">
        <f t="shared" si="137"/>
        <v>319.08749999999998</v>
      </c>
      <c r="BB99" s="62">
        <f t="shared" si="137"/>
        <v>318.25</v>
      </c>
      <c r="BC99" s="62">
        <f t="shared" si="137"/>
        <v>317.41250000000002</v>
      </c>
      <c r="BD99" s="62">
        <f t="shared" si="137"/>
        <v>316.57499999999999</v>
      </c>
      <c r="BE99" s="62">
        <f t="shared" si="137"/>
        <v>315.73749999999995</v>
      </c>
      <c r="BF99" s="62">
        <f t="shared" si="137"/>
        <v>314.89999999999998</v>
      </c>
      <c r="BG99" s="62">
        <f t="shared" si="137"/>
        <v>286.60000000000002</v>
      </c>
      <c r="BH99" s="62">
        <f t="shared" si="137"/>
        <v>286.60000000000002</v>
      </c>
      <c r="BI99" s="62">
        <f t="shared" si="137"/>
        <v>286.60000000000002</v>
      </c>
      <c r="BJ99" s="62">
        <f t="shared" si="137"/>
        <v>286.60000000000002</v>
      </c>
      <c r="BK99" s="62">
        <f t="shared" si="137"/>
        <v>286.60000000000002</v>
      </c>
      <c r="BL99" s="62">
        <f t="shared" si="137"/>
        <v>286.60000000000002</v>
      </c>
      <c r="BM99" s="62">
        <f t="shared" si="137"/>
        <v>289.75</v>
      </c>
      <c r="BN99" s="62">
        <f t="shared" si="137"/>
        <v>289.75</v>
      </c>
      <c r="BO99" s="62">
        <f t="shared" si="137"/>
        <v>273.02499999999998</v>
      </c>
      <c r="BP99" s="62">
        <f t="shared" si="137"/>
        <v>273.02499999999998</v>
      </c>
      <c r="BQ99" s="62">
        <f t="shared" si="137"/>
        <v>273.02499999999998</v>
      </c>
      <c r="BR99" s="62">
        <f t="shared" si="137"/>
        <v>326.625</v>
      </c>
      <c r="BS99" s="62">
        <f t="shared" si="137"/>
        <v>326.625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6.5324999999999998</v>
      </c>
      <c r="AW100" s="169">
        <f t="shared" si="140"/>
        <v>6.4989999999999997</v>
      </c>
      <c r="AX100" s="169">
        <f t="shared" si="140"/>
        <v>6.4654999999999996</v>
      </c>
      <c r="AY100" s="169">
        <f t="shared" si="140"/>
        <v>6.4320000000000004</v>
      </c>
      <c r="AZ100" s="169">
        <f t="shared" si="140"/>
        <v>6.3984999999999994</v>
      </c>
      <c r="BA100" s="169">
        <f t="shared" si="140"/>
        <v>6.3817499999999994</v>
      </c>
      <c r="BB100" s="169">
        <f t="shared" si="140"/>
        <v>6.3650000000000002</v>
      </c>
      <c r="BC100" s="169">
        <f t="shared" si="140"/>
        <v>6.3482500000000002</v>
      </c>
      <c r="BD100" s="169">
        <f t="shared" si="140"/>
        <v>6.3315000000000001</v>
      </c>
      <c r="BE100" s="169">
        <f t="shared" si="140"/>
        <v>6.3147499999999992</v>
      </c>
      <c r="BF100" s="169">
        <f t="shared" si="140"/>
        <v>6.2979999999999992</v>
      </c>
      <c r="BG100" s="169">
        <f t="shared" si="140"/>
        <v>5.7320000000000002</v>
      </c>
      <c r="BH100" s="169">
        <f t="shared" si="140"/>
        <v>5.7320000000000002</v>
      </c>
      <c r="BI100" s="169">
        <f t="shared" si="140"/>
        <v>5.7320000000000002</v>
      </c>
      <c r="BJ100" s="169">
        <f t="shared" si="140"/>
        <v>5.7320000000000002</v>
      </c>
      <c r="BK100" s="169">
        <f t="shared" si="140"/>
        <v>5.7320000000000002</v>
      </c>
      <c r="BL100" s="169">
        <f t="shared" si="140"/>
        <v>5.7320000000000002</v>
      </c>
      <c r="BM100" s="169">
        <f t="shared" si="140"/>
        <v>5.7949999999999999</v>
      </c>
      <c r="BN100" s="169">
        <f t="shared" si="140"/>
        <v>5.7949999999999999</v>
      </c>
      <c r="BO100" s="169">
        <f t="shared" si="140"/>
        <v>5.4604999999999997</v>
      </c>
      <c r="BP100" s="169">
        <f t="shared" si="140"/>
        <v>5.4604999999999997</v>
      </c>
      <c r="BQ100" s="169">
        <f t="shared" si="140"/>
        <v>5.4604999999999997</v>
      </c>
      <c r="BR100" s="169">
        <f t="shared" si="140"/>
        <v>6.5324999999999998</v>
      </c>
      <c r="BS100" s="169">
        <f t="shared" si="140"/>
        <v>6.5324999999999998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5.5324999999999998</v>
      </c>
      <c r="AW101" s="169">
        <f t="shared" si="143"/>
        <v>5.4989999999999997</v>
      </c>
      <c r="AX101" s="169">
        <f t="shared" si="143"/>
        <v>5.4654999999999996</v>
      </c>
      <c r="AY101" s="169">
        <f t="shared" si="143"/>
        <v>5.4320000000000004</v>
      </c>
      <c r="AZ101" s="169">
        <f t="shared" si="143"/>
        <v>5.3984999999999994</v>
      </c>
      <c r="BA101" s="169">
        <f t="shared" si="143"/>
        <v>5.3817499999999994</v>
      </c>
      <c r="BB101" s="169">
        <f t="shared" si="143"/>
        <v>5.3650000000000002</v>
      </c>
      <c r="BC101" s="169">
        <f t="shared" si="143"/>
        <v>5.3482500000000002</v>
      </c>
      <c r="BD101" s="169">
        <f t="shared" si="143"/>
        <v>5.3315000000000001</v>
      </c>
      <c r="BE101" s="169">
        <f t="shared" si="143"/>
        <v>5.3147499999999992</v>
      </c>
      <c r="BF101" s="169">
        <f t="shared" si="143"/>
        <v>5.2979999999999992</v>
      </c>
      <c r="BG101" s="169">
        <f t="shared" si="143"/>
        <v>4.7320000000000002</v>
      </c>
      <c r="BH101" s="169">
        <f t="shared" si="143"/>
        <v>4.7320000000000002</v>
      </c>
      <c r="BI101" s="169">
        <f t="shared" si="143"/>
        <v>4.7320000000000002</v>
      </c>
      <c r="BJ101" s="169">
        <f t="shared" si="143"/>
        <v>4.7320000000000002</v>
      </c>
      <c r="BK101" s="169">
        <f t="shared" si="143"/>
        <v>4.7320000000000002</v>
      </c>
      <c r="BL101" s="169">
        <f t="shared" si="143"/>
        <v>4.7320000000000002</v>
      </c>
      <c r="BM101" s="169">
        <f t="shared" si="143"/>
        <v>4.7949999999999999</v>
      </c>
      <c r="BN101" s="169">
        <f t="shared" si="143"/>
        <v>4.7949999999999999</v>
      </c>
      <c r="BO101" s="169">
        <f t="shared" si="143"/>
        <v>4.4604999999999997</v>
      </c>
      <c r="BP101" s="169">
        <f t="shared" si="143"/>
        <v>4.4604999999999997</v>
      </c>
      <c r="BQ101" s="169">
        <f t="shared" si="143"/>
        <v>4.4604999999999997</v>
      </c>
      <c r="BR101" s="169">
        <f t="shared" si="143"/>
        <v>5.5324999999999998</v>
      </c>
      <c r="BS101" s="169">
        <f t="shared" si="143"/>
        <v>5.5324999999999998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51.681874999999998</v>
      </c>
      <c r="AW102" s="62">
        <f t="shared" si="146"/>
        <v>51.623249999999999</v>
      </c>
      <c r="AX102" s="62">
        <f t="shared" si="146"/>
        <v>51.564624999999999</v>
      </c>
      <c r="AY102" s="62">
        <f t="shared" si="146"/>
        <v>51.506</v>
      </c>
      <c r="AZ102" s="62">
        <f t="shared" si="146"/>
        <v>51.447375000000001</v>
      </c>
      <c r="BA102" s="62">
        <f t="shared" si="146"/>
        <v>51.418062499999998</v>
      </c>
      <c r="BB102" s="62">
        <f t="shared" si="146"/>
        <v>51.388750000000002</v>
      </c>
      <c r="BC102" s="62">
        <f t="shared" si="146"/>
        <v>51.359437499999999</v>
      </c>
      <c r="BD102" s="62">
        <f t="shared" si="146"/>
        <v>51.330125000000002</v>
      </c>
      <c r="BE102" s="62">
        <f t="shared" si="146"/>
        <v>51.300812499999999</v>
      </c>
      <c r="BF102" s="62">
        <f t="shared" si="146"/>
        <v>51.271499999999996</v>
      </c>
      <c r="BG102" s="62">
        <f t="shared" si="146"/>
        <v>50.280999999999999</v>
      </c>
      <c r="BH102" s="62">
        <f t="shared" si="146"/>
        <v>50.280999999999999</v>
      </c>
      <c r="BI102" s="62">
        <f t="shared" si="146"/>
        <v>50.280999999999999</v>
      </c>
      <c r="BJ102" s="62">
        <f t="shared" si="146"/>
        <v>50.280999999999999</v>
      </c>
      <c r="BK102" s="62">
        <f t="shared" si="146"/>
        <v>50.280999999999999</v>
      </c>
      <c r="BL102" s="62">
        <f t="shared" si="146"/>
        <v>50.280999999999999</v>
      </c>
      <c r="BM102" s="62">
        <f t="shared" si="146"/>
        <v>50.391249999999999</v>
      </c>
      <c r="BN102" s="62">
        <f t="shared" si="146"/>
        <v>50.391249999999999</v>
      </c>
      <c r="BO102" s="62">
        <f t="shared" si="146"/>
        <v>49.805875</v>
      </c>
      <c r="BP102" s="62">
        <f t="shared" si="146"/>
        <v>49.805875</v>
      </c>
      <c r="BQ102" s="62">
        <f t="shared" si="146"/>
        <v>49.805875</v>
      </c>
      <c r="BR102" s="62">
        <f t="shared" si="146"/>
        <v>51.681874999999998</v>
      </c>
      <c r="BS102" s="62">
        <f t="shared" si="146"/>
        <v>51.681874999999998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0</v>
      </c>
      <c r="AZ106" s="186">
        <f>IF(AZ60&gt;0,HLOOKUP(AZ60,[1]Trav!$C$11:$O$31,$AU$105),0)</f>
        <v>0</v>
      </c>
      <c r="BA106" s="186">
        <f>IF(BA60&gt;0,HLOOKUP(BA60,[1]Trav!$C$11:$O$31,$AU$105),0)</f>
        <v>0</v>
      </c>
      <c r="BB106" s="186">
        <f>IF(BB60&gt;0,HLOOKUP(BB60,[1]Trav!$C$11:$O$31,$AU$105),0)</f>
        <v>0</v>
      </c>
      <c r="BC106" s="186">
        <f>IF(BC60&gt;0,HLOOKUP(BC60,[1]Trav!$C$11:$O$31,$AU$105),0)</f>
        <v>0</v>
      </c>
      <c r="BD106" s="186">
        <f>IF(BD60&gt;0,HLOOKUP(BD60,[1]Trav!$C$11:$O$31,$AU$105),0)</f>
        <v>0</v>
      </c>
      <c r="BE106" s="186">
        <f>IF(BE60&gt;0,HLOOKUP(BE60,[1]Trav!$C$11:$O$31,$AU$105),0)</f>
        <v>0</v>
      </c>
      <c r="BF106" s="186">
        <f>IF(BF60&gt;0,HLOOKUP(BF60,[1]Trav!$C$11:$O$31,$AU$105),0)</f>
        <v>0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0</v>
      </c>
      <c r="BN106" s="186">
        <f>IF(BN60&gt;0,HLOOKUP(BN60,[1]Trav!$C$11:$O$31,$AU$105),0)</f>
        <v>0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0</v>
      </c>
      <c r="AW107" s="186">
        <f>IF(AW61&gt;0,HLOOKUP(AW61,[1]Trav!$C$11:$O$31,$AU$105),0)</f>
        <v>0</v>
      </c>
      <c r="AX107" s="186">
        <f>IF(AX61&gt;0,HLOOKUP(AX61,[1]Trav!$C$11:$O$31,$AU$105),0)</f>
        <v>0</v>
      </c>
      <c r="AY107" s="186">
        <f>IF(AY61&gt;0,HLOOKUP(AY61,[1]Trav!$C$11:$O$31,$AU$105),0)</f>
        <v>0</v>
      </c>
      <c r="AZ107" s="186">
        <f>IF(AZ61&gt;0,HLOOKUP(AZ61,[1]Trav!$C$11:$O$31,$AU$105),0)</f>
        <v>0</v>
      </c>
      <c r="BA107" s="186">
        <f>IF(BA61&gt;0,HLOOKUP(BA61,[1]Trav!$C$11:$O$31,$AU$105),0)</f>
        <v>0</v>
      </c>
      <c r="BB107" s="186">
        <f>IF(BB61&gt;0,HLOOKUP(BB61,[1]Trav!$C$11:$O$31,$AU$105),0)</f>
        <v>0</v>
      </c>
      <c r="BC107" s="186">
        <f>IF(BC61&gt;0,HLOOKUP(BC61,[1]Trav!$C$11:$O$31,$AU$105),0)</f>
        <v>0</v>
      </c>
      <c r="BD107" s="186">
        <f>IF(BD61&gt;0,HLOOKUP(BD61,[1]Trav!$C$11:$O$31,$AU$105),0)</f>
        <v>0</v>
      </c>
      <c r="BE107" s="186">
        <f>IF(BE61&gt;0,HLOOKUP(BE61,[1]Trav!$C$11:$O$31,$AU$105),0)</f>
        <v>0</v>
      </c>
      <c r="BF107" s="186">
        <f>IF(BF61&gt;0,HLOOKUP(BF61,[1]Trav!$C$11:$O$31,$AU$105),0)</f>
        <v>0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0</v>
      </c>
      <c r="BN107" s="186">
        <f>IF(BN61&gt;0,HLOOKUP(BN61,[1]Trav!$C$11:$O$31,$AU$105),0)</f>
        <v>0</v>
      </c>
      <c r="BO107" s="186">
        <f>IF(BO61&gt;0,HLOOKUP(BO61,[1]Trav!$C$11:$O$31,$AU$105),0)</f>
        <v>0</v>
      </c>
      <c r="BP107" s="186">
        <f>IF(BP61&gt;0,HLOOKUP(BP61,[1]Trav!$C$11:$O$31,$AU$105),0)</f>
        <v>0</v>
      </c>
      <c r="BQ107" s="186">
        <f>IF(BQ61&gt;0,HLOOKUP(BQ61,[1]Trav!$C$11:$O$31,$AU$105),0)</f>
        <v>0</v>
      </c>
      <c r="BR107" s="186">
        <f>IF(BR61&gt;0,HLOOKUP(BR61,[1]Trav!$C$11:$O$31,$AU$105),0)</f>
        <v>0</v>
      </c>
      <c r="BS107" s="186">
        <f>IF(BS61&gt;0,HLOOKUP(BS61,[1]Trav!$C$11:$O$31,$AU$105),0)</f>
        <v>0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283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0</v>
      </c>
      <c r="D109" s="185"/>
      <c r="AT109" s="187" t="str">
        <f t="shared" si="149"/>
        <v>Béliers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0</v>
      </c>
      <c r="BA109" s="186">
        <f>IF(BA63&gt;0,HLOOKUP(BA63,[1]Trav!$C$11:$O$31,$AU$105),0)</f>
        <v>0</v>
      </c>
      <c r="BB109" s="186">
        <f>IF(BB63&gt;0,HLOOKUP(BB63,[1]Trav!$C$11:$O$31,$AU$105),0)</f>
        <v>0</v>
      </c>
      <c r="BC109" s="186">
        <f>IF(BC63&gt;0,HLOOKUP(BC63,[1]Trav!$C$11:$O$31,$AU$105),0)</f>
        <v>0</v>
      </c>
      <c r="BD109" s="186">
        <f>IF(BD63&gt;0,HLOOKUP(BD63,[1]Trav!$C$11:$O$31,$AU$105),0)</f>
        <v>0</v>
      </c>
      <c r="BE109" s="186">
        <f>IF(BE63&gt;0,HLOOKUP(BE63,[1]Trav!$C$11:$O$31,$AU$105),0)</f>
        <v>0</v>
      </c>
      <c r="BF109" s="186">
        <f>IF(BF63&gt;0,HLOOKUP(BF63,[1]Trav!$C$11:$O$31,$AU$105),0)</f>
        <v>0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0</v>
      </c>
      <c r="BN109" s="186">
        <f>IF(BN63&gt;0,HLOOKUP(BN63,[1]Trav!$C$11:$O$31,$AU$105),0)</f>
        <v>0</v>
      </c>
      <c r="BO109" s="186">
        <f>IF(BO63&gt;0,HLOOKUP(BO63,[1]Trav!$C$11:$O$31,$AU$105),0)</f>
        <v>0</v>
      </c>
      <c r="BP109" s="186">
        <f>IF(BP63&gt;0,HLOOKUP(BP63,[1]Trav!$C$11:$O$31,$AU$105),0)</f>
        <v>0</v>
      </c>
      <c r="BQ109" s="186">
        <f>IF(BQ63&gt;0,HLOOKUP(BQ63,[1]Trav!$C$11:$O$31,$AU$105),0)</f>
        <v>0</v>
      </c>
      <c r="BR109" s="186">
        <f>IF(BR63&gt;0,HLOOKUP(BR63,[1]Trav!$C$11:$O$31,$AU$105),0)</f>
        <v>0</v>
      </c>
      <c r="BS109" s="186">
        <f>IF(BS63&gt;0,HLOOKUP(BS63,[1]Trav!$C$11:$O$31,$AU$105),0)</f>
        <v>0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lot5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0</v>
      </c>
      <c r="BH110" s="186">
        <f>IF(BH64&gt;0,HLOOKUP(BH64,[1]Trav!$C$11:$O$31,$AU$105),0)</f>
        <v>0</v>
      </c>
      <c r="BI110" s="186">
        <f>IF(BI64&gt;0,HLOOKUP(BI64,[1]Trav!$C$11:$O$31,$AU$105),0)</f>
        <v>0</v>
      </c>
      <c r="BJ110" s="186">
        <f>IF(BJ64&gt;0,HLOOKUP(BJ64,[1]Trav!$C$11:$O$31,$AU$105),0)</f>
        <v>0</v>
      </c>
      <c r="BK110" s="186">
        <f>IF(BK64&gt;0,HLOOKUP(BK64,[1]Trav!$C$11:$O$31,$AU$105),0)</f>
        <v>0</v>
      </c>
      <c r="BL110" s="186">
        <f>IF(BL64&gt;0,HLOOKUP(BL64,[1]Trav!$C$11:$O$31,$AU$105),0)</f>
        <v>0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0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0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9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0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0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0</v>
      </c>
      <c r="AW117" s="169">
        <f t="shared" si="152"/>
        <v>0</v>
      </c>
      <c r="AX117" s="169">
        <f t="shared" si="152"/>
        <v>0</v>
      </c>
      <c r="AY117" s="169">
        <f t="shared" si="152"/>
        <v>0</v>
      </c>
      <c r="AZ117" s="169">
        <f t="shared" si="152"/>
        <v>0</v>
      </c>
      <c r="BA117" s="169">
        <f t="shared" si="152"/>
        <v>0</v>
      </c>
      <c r="BB117" s="169">
        <f t="shared" si="152"/>
        <v>0</v>
      </c>
      <c r="BC117" s="169">
        <f t="shared" si="152"/>
        <v>0</v>
      </c>
      <c r="BD117" s="169">
        <f t="shared" si="152"/>
        <v>0</v>
      </c>
      <c r="BE117" s="169">
        <f t="shared" si="152"/>
        <v>0</v>
      </c>
      <c r="BF117" s="169">
        <f t="shared" si="152"/>
        <v>0</v>
      </c>
      <c r="BG117" s="169">
        <f t="shared" si="152"/>
        <v>0</v>
      </c>
      <c r="BH117" s="169">
        <f t="shared" si="152"/>
        <v>0</v>
      </c>
      <c r="BI117" s="169">
        <f t="shared" si="152"/>
        <v>0</v>
      </c>
      <c r="BJ117" s="169">
        <f t="shared" si="152"/>
        <v>0</v>
      </c>
      <c r="BK117" s="169">
        <f t="shared" si="152"/>
        <v>0</v>
      </c>
      <c r="BL117" s="169">
        <f t="shared" si="152"/>
        <v>0</v>
      </c>
      <c r="BM117" s="169">
        <f t="shared" si="152"/>
        <v>0</v>
      </c>
      <c r="BN117" s="169">
        <f t="shared" si="152"/>
        <v>0</v>
      </c>
      <c r="BO117" s="169">
        <f t="shared" si="152"/>
        <v>0</v>
      </c>
      <c r="BP117" s="169">
        <f t="shared" si="152"/>
        <v>0</v>
      </c>
      <c r="BQ117" s="169">
        <f t="shared" si="152"/>
        <v>0</v>
      </c>
      <c r="BR117" s="169">
        <f t="shared" si="152"/>
        <v>0</v>
      </c>
      <c r="BS117" s="169">
        <f t="shared" si="152"/>
        <v>0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2287.0650208333332</v>
      </c>
      <c r="D118" s="184">
        <f>B118/Troupeau!$B$17</f>
        <v>8.5338247046019902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2287.0650208333332</v>
      </c>
    </row>
    <row r="123" spans="1:132" x14ac:dyDescent="0.25">
      <c r="A123" s="2" t="s">
        <v>765</v>
      </c>
      <c r="B123" s="30">
        <f>B108</f>
        <v>283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0</v>
      </c>
    </row>
    <row r="126" spans="1:132" x14ac:dyDescent="0.25">
      <c r="A126" s="2" t="s">
        <v>762</v>
      </c>
      <c r="B126" s="30">
        <f>B114+B115+B116</f>
        <v>9</v>
      </c>
    </row>
    <row r="128" spans="1:132" x14ac:dyDescent="0.25">
      <c r="A128" s="2" t="s">
        <v>761</v>
      </c>
      <c r="B128" s="183">
        <f>SUM(B122:B126)</f>
        <v>3019.0650208333332</v>
      </c>
    </row>
    <row r="129" spans="1:2" x14ac:dyDescent="0.25">
      <c r="A129" s="2" t="s">
        <v>760</v>
      </c>
      <c r="B129" s="30">
        <f>IF(Scénario!K129=1,Travail!F77+Travail!F86,F86)</f>
        <v>84</v>
      </c>
    </row>
    <row r="130" spans="1:2" x14ac:dyDescent="0.25">
      <c r="A130" s="2" t="s">
        <v>759</v>
      </c>
      <c r="B130" s="183">
        <f>ROUND((B128-B129)/(Scénario!K4+Scénario!K6),0)</f>
        <v>2935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0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2.0299999999999998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19.84</v>
      </c>
      <c r="AA38" s="14" t="s">
        <v>1070</v>
      </c>
      <c r="AB38" s="169">
        <f>IF(Z39&gt;25, 25,Z39)</f>
        <v>19.84</v>
      </c>
      <c r="AC38" s="169">
        <f>AC40+AC36</f>
        <v>328</v>
      </c>
      <c r="AD38" s="169">
        <f>AB38*AC38</f>
        <v>6507.5199999999995</v>
      </c>
      <c r="AE38" s="276">
        <f>IF($AJ$40=0,AB38*$AC$40,AD38*$AJ$40/100)</f>
        <v>5856.7679999999991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19.84</v>
      </c>
      <c r="AA39" s="14" t="s">
        <v>1067</v>
      </c>
      <c r="AB39" s="169">
        <f>IF(Z39&gt;50,25,IF(Z39&gt;25,Z39-25,0))</f>
        <v>0</v>
      </c>
      <c r="AC39" s="169">
        <f>AC40+0.66*AC36</f>
        <v>240.28</v>
      </c>
      <c r="AD39" s="169">
        <f>AB39*AC39</f>
        <v>0</v>
      </c>
      <c r="AE39" s="276">
        <f>IF($AJ$40=0,AB39*$AC$40,AD39*$AJ$40/100)</f>
        <v>0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0</v>
      </c>
      <c r="AC40" s="186">
        <f>[1]Eco!$B$34</f>
        <v>70</v>
      </c>
      <c r="AD40" s="169">
        <f>AB40*AC40</f>
        <v>0</v>
      </c>
      <c r="AE40" s="276">
        <f>IF($AJ$40=0,AB40*$AC$40,AD40*$AJ$40/100)</f>
        <v>0</v>
      </c>
      <c r="AF40" s="274"/>
      <c r="AG40" s="274"/>
      <c r="AH40" s="274"/>
      <c r="AI40" s="278" t="s">
        <v>1424</v>
      </c>
      <c r="AJ40" s="276">
        <f>IF(AJ36&lt;=AJ38,100,IF(AJ36&lt;=AJ39,90,0))</f>
        <v>90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6507.5199999999995</v>
      </c>
      <c r="AE41" s="279">
        <f>ROUND(SUM(AE38:AE40)*T25,0)</f>
        <v>5857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19.84</v>
      </c>
      <c r="C42" s="216">
        <f>[1]Eco!$B$24</f>
        <v>97</v>
      </c>
      <c r="J42" s="169">
        <f>B42*C42</f>
        <v>1924.48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19.84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972.16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19.84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1329.28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5857</v>
      </c>
      <c r="K45" s="169"/>
      <c r="L45" s="169"/>
      <c r="M45" s="169"/>
      <c r="N45" s="169"/>
      <c r="O45" s="244"/>
      <c r="U45" s="14" t="s">
        <v>1055</v>
      </c>
      <c r="V45" s="169">
        <f>S55</f>
        <v>0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19.84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30.989000000000001</v>
      </c>
      <c r="AT47" s="237">
        <f>CdTrp1!N39</f>
        <v>30.989000000000001</v>
      </c>
      <c r="AU47" s="237">
        <f>CdTrp1!O39</f>
        <v>30.989000000000001</v>
      </c>
      <c r="AV47" s="237">
        <f>CdTrp1!P39</f>
        <v>30.989000000000001</v>
      </c>
      <c r="AW47" s="237">
        <f>CdTrp1!Q39</f>
        <v>30.989000000000001</v>
      </c>
      <c r="AX47" s="237">
        <f>CdTrp1!R39</f>
        <v>30.989000000000001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60991.320000000007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1</v>
      </c>
      <c r="BH48" s="237">
        <f>IF(CdTrp1!N76=1,1,IF(CdTrp1!N76=2,2,IF(CdTrp1!N76=3,2,0)))</f>
        <v>1</v>
      </c>
      <c r="BI48" s="237">
        <f>IF(CdTrp1!O76=1,1,IF(CdTrp1!O76=2,2,IF(CdTrp1!O76=3,2,0)))</f>
        <v>1</v>
      </c>
      <c r="BJ48" s="237">
        <f>IF(CdTrp1!P76=1,1,IF(CdTrp1!P76=2,2,IF(CdTrp1!P76=3,2,0)))</f>
        <v>1</v>
      </c>
      <c r="BK48" s="237">
        <f>IF(CdTrp1!Q76=1,1,IF(CdTrp1!Q76=2,2,IF(CdTrp1!Q76=3,2,0)))</f>
        <v>1</v>
      </c>
      <c r="BL48" s="237">
        <f>IF(CdTrp1!R76=1,1,IF(CdTrp1!R76=2,2,IF(CdTrp1!R76=3,2,0)))</f>
        <v>1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1.4472</v>
      </c>
      <c r="AT49" s="237">
        <f>CdTrp1!N41</f>
        <v>1.4472</v>
      </c>
      <c r="AU49" s="237">
        <f>CdTrp1!O41</f>
        <v>1.4472</v>
      </c>
      <c r="AV49" s="237">
        <f>IF(CdTrp1!B77=1,1,IF(CdTrp1!B77=2,2,IF(CdTrp1!B77=3,2,0)))</f>
        <v>1</v>
      </c>
      <c r="AW49" s="237">
        <f>IF(CdTrp1!C77=1,1,IF(CdTrp1!C77=2,2,IF(CdTrp1!C77=3,2,0)))</f>
        <v>1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1</v>
      </c>
      <c r="BA49" s="237">
        <f>IF(CdTrp1!G77=1,1,IF(CdTrp1!G77=2,2,IF(CdTrp1!G77=3,2,0)))</f>
        <v>1</v>
      </c>
      <c r="BB49" s="237">
        <f>IF(CdTrp1!H77=1,1,IF(CdTrp1!H77=2,2,IF(CdTrp1!H77=3,2,0)))</f>
        <v>1</v>
      </c>
      <c r="BC49" s="237">
        <f>IF(CdTrp1!I77=1,1,IF(CdTrp1!I77=2,2,IF(CdTrp1!I77=3,2,0)))</f>
        <v>1</v>
      </c>
      <c r="BD49" s="237">
        <f>IF(CdTrp1!J77=1,1,IF(CdTrp1!J77=2,2,IF(CdTrp1!J77=3,2,0)))</f>
        <v>1</v>
      </c>
      <c r="BE49" s="237">
        <f>IF(CdTrp1!K77=1,1,IF(CdTrp1!K77=2,2,IF(CdTrp1!K77=3,2,0)))</f>
        <v>1</v>
      </c>
      <c r="BF49" s="237">
        <f>IF(CdTrp1!L77=1,1,IF(CdTrp1!L77=2,2,IF(CdTrp1!L77=3,2,0)))</f>
        <v>1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1</v>
      </c>
      <c r="BN49" s="237">
        <f>IF(CdTrp1!T77=1,1,IF(CdTrp1!T77=2,2,IF(CdTrp1!T77=3,2,0)))</f>
        <v>1</v>
      </c>
      <c r="BO49" s="237">
        <f>IF(CdTrp1!U77=1,1,IF(CdTrp1!U77=2,2,IF(CdTrp1!U77=3,2,0)))</f>
        <v>1</v>
      </c>
      <c r="BP49" s="237">
        <f>IF(CdTrp1!V77=1,1,IF(CdTrp1!V77=2,2,IF(CdTrp1!V77=3,2,0)))</f>
        <v>1</v>
      </c>
      <c r="BQ49" s="237">
        <f>IF(CdTrp1!W77=1,1,IF(CdTrp1!W77=2,2,IF(CdTrp1!W77=3,2,0)))</f>
        <v>1</v>
      </c>
      <c r="BR49" s="237">
        <f>IF(CdTrp1!X77=1,1,IF(CdTrp1!X77=2,2,IF(CdTrp1!X77=3,2,0)))</f>
        <v>1</v>
      </c>
      <c r="BS49" s="237">
        <f>IF(CdTrp1!Y77=1,1,IF(CdTrp1!Y77=2,2,IF(CdTrp1!Y77=3,2,0)))</f>
        <v>1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0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0</v>
      </c>
      <c r="BC50" s="237">
        <f>IF(CdTrp1!I78=1,1,IF(CdTrp1!I78=2,2,IF(CdTrp1!I78=3,2,0)))</f>
        <v>0</v>
      </c>
      <c r="BD50" s="237">
        <f>IF(CdTrp1!J78=1,1,IF(CdTrp1!J78=2,2,IF(CdTrp1!J78=3,2,0)))</f>
        <v>0</v>
      </c>
      <c r="BE50" s="237">
        <f>IF(CdTrp1!K78=1,1,IF(CdTrp1!K78=2,2,IF(CdTrp1!K78=3,2,0)))</f>
        <v>0</v>
      </c>
      <c r="BF50" s="237">
        <f>IF(CdTrp1!L78=1,1,IF(CdTrp1!L78=2,2,IF(CdTrp1!L78=3,2,0)))</f>
        <v>0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0</v>
      </c>
      <c r="BN50" s="237">
        <f>IF(CdTrp1!T78=1,1,IF(CdTrp1!T78=2,2,IF(CdTrp1!T78=3,2,0)))</f>
        <v>0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lot5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0</v>
      </c>
      <c r="AT51" s="237">
        <f>CdTrp1!N43</f>
        <v>0</v>
      </c>
      <c r="AU51" s="237">
        <f>CdTrp1!O43</f>
        <v>0</v>
      </c>
      <c r="AV51" s="237">
        <f>IF(CdTrp1!B79=1,1,IF(CdTrp1!B79=2,2,IF(CdTrp1!B79=3,2,0)))</f>
        <v>0</v>
      </c>
      <c r="AW51" s="237">
        <f>IF(CdTrp1!C79=1,1,IF(CdTrp1!C79=2,2,IF(CdTrp1!C79=3,2,0)))</f>
        <v>0</v>
      </c>
      <c r="AX51" s="237">
        <f>IF(CdTrp1!D79=1,1,IF(CdTrp1!D79=2,2,IF(CdTrp1!D79=3,2,0)))</f>
        <v>0</v>
      </c>
      <c r="AY51" s="237">
        <f>IF(CdTrp1!E79=1,1,IF(CdTrp1!E79=2,2,IF(CdTrp1!E79=3,2,0)))</f>
        <v>0</v>
      </c>
      <c r="AZ51" s="237">
        <f>IF(CdTrp1!F79=1,1,IF(CdTrp1!F79=2,2,IF(CdTrp1!F79=3,2,0)))</f>
        <v>0</v>
      </c>
      <c r="BA51" s="237">
        <f>IF(CdTrp1!G79=1,1,IF(CdTrp1!G79=2,2,IF(CdTrp1!G79=3,2,0)))</f>
        <v>0</v>
      </c>
      <c r="BB51" s="237">
        <f>IF(CdTrp1!H79=1,1,IF(CdTrp1!H79=2,2,IF(CdTrp1!H79=3,2,0)))</f>
        <v>0</v>
      </c>
      <c r="BC51" s="237">
        <f>IF(CdTrp1!I79=1,1,IF(CdTrp1!I79=2,2,IF(CdTrp1!I79=3,2,0)))</f>
        <v>0</v>
      </c>
      <c r="BD51" s="237">
        <f>IF(CdTrp1!J79=1,1,IF(CdTrp1!J79=2,2,IF(CdTrp1!J79=3,2,0)))</f>
        <v>0</v>
      </c>
      <c r="BE51" s="237">
        <f>IF(CdTrp1!K79=1,1,IF(CdTrp1!K79=2,2,IF(CdTrp1!K79=3,2,0)))</f>
        <v>0</v>
      </c>
      <c r="BF51" s="237">
        <f>IF(CdTrp1!L79=1,1,IF(CdTrp1!L79=2,2,IF(CdTrp1!L79=3,2,0)))</f>
        <v>0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0</v>
      </c>
      <c r="BN51" s="237">
        <f>IF(CdTrp1!T79=1,1,IF(CdTrp1!T79=2,2,IF(CdTrp1!T79=3,2,0)))</f>
        <v>0</v>
      </c>
      <c r="BO51" s="237">
        <f>IF(CdTrp1!U79=1,1,IF(CdTrp1!U79=2,2,IF(CdTrp1!U79=3,2,0)))</f>
        <v>0</v>
      </c>
      <c r="BP51" s="237">
        <f>IF(CdTrp1!V79=1,1,IF(CdTrp1!V79=2,2,IF(CdTrp1!V79=3,2,0)))</f>
        <v>0</v>
      </c>
      <c r="BQ51" s="237">
        <f>IF(CdTrp1!W79=1,1,IF(CdTrp1!W79=2,2,IF(CdTrp1!W79=3,2,0)))</f>
        <v>0</v>
      </c>
      <c r="BR51" s="237">
        <f>IF(CdTrp1!X79=1,1,IF(CdTrp1!X79=2,2,IF(CdTrp1!X79=3,2,0)))</f>
        <v>0</v>
      </c>
      <c r="BS51" s="237">
        <f>IF(CdTrp1!Y79=1,1,IF(CdTrp1!Y79=2,2,IF(CdTrp1!Y79=3,2,0)))</f>
        <v>0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0</v>
      </c>
      <c r="BH52" s="237">
        <f>IF(CdTrp1!N80=1,1,IF(CdTrp1!N80=2,2,IF(CdTrp1!N80=3,2,0)))</f>
        <v>0</v>
      </c>
      <c r="BI52" s="237">
        <f>IF(CdTrp1!O80=1,1,IF(CdTrp1!O80=2,2,IF(CdTrp1!O80=3,2,0)))</f>
        <v>0</v>
      </c>
      <c r="BJ52" s="237">
        <f>IF(CdTrp1!P80=1,1,IF(CdTrp1!P80=2,2,IF(CdTrp1!P80=3,2,0)))</f>
        <v>0</v>
      </c>
      <c r="BK52" s="237">
        <f>IF(CdTrp1!Q80=1,1,IF(CdTrp1!Q80=2,2,IF(CdTrp1!Q80=3,2,0)))</f>
        <v>0</v>
      </c>
      <c r="BL52" s="237">
        <f>IF(CdTrp1!R80=1,1,IF(CdTrp1!R80=2,2,IF(CdTrp1!R80=3,2,0)))</f>
        <v>0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0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1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lot5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0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1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lot5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0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114.64309999999999</v>
      </c>
      <c r="C118" s="186">
        <f>IF(Scénario!$K$12="BV",[1]Eco!$B$78,IF(Scénario!$K$12="BL",[1]Eco!$B$77,[1]Eco!$B$76))</f>
        <v>223</v>
      </c>
      <c r="J118" s="169">
        <f>B118*C118</f>
        <v>25565.411299999996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18.020999999999994</v>
      </c>
      <c r="C119" s="186">
        <f>[1]Eco!$B$79</f>
        <v>80</v>
      </c>
      <c r="J119" s="169">
        <f>B119*C119</f>
        <v>1441.6799999999994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13.4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13.4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723.6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0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0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11.8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959.34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1809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0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55532.931299999997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11.8</v>
      </c>
      <c r="X153" t="s">
        <v>52</v>
      </c>
      <c r="Y153" s="169">
        <f>W153-Scénario!K28</f>
        <v>1.1000000000000014</v>
      </c>
      <c r="Z153" s="169">
        <f>Y153-Y156</f>
        <v>1.1000000000000014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11.8</v>
      </c>
      <c r="X154" t="s">
        <v>52</v>
      </c>
      <c r="Y154" s="169">
        <f>W154-Scénario!K29</f>
        <v>2.6000000000000014</v>
      </c>
      <c r="Z154" s="169">
        <f>Y154</f>
        <v>2.6000000000000014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0</v>
      </c>
      <c r="X155" t="s">
        <v>52</v>
      </c>
      <c r="Y155" s="169">
        <f>W155-Scénario!K30</f>
        <v>-3.5</v>
      </c>
      <c r="Z155" s="169">
        <f>Y155</f>
        <v>-3.5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1.1000000000000014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39.820000000000057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2.6000000000000014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78.000000000000043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-3.5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-105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15</v>
      </c>
      <c r="S164" s="169">
        <f>'Alim -Surf'!R7</f>
        <v>1.1000000000000001</v>
      </c>
      <c r="T164" s="169">
        <f>VLOOKUP($R164,[1]MEP!$A$4:$M$300,13)</f>
        <v>2</v>
      </c>
      <c r="U164" s="169">
        <f t="shared" ref="U164:U195" si="85">IF($T164&gt;0,$S164,0)</f>
        <v>1.1000000000000001</v>
      </c>
      <c r="V164" s="169">
        <f t="shared" ref="V164:V195" si="86">IF($T164&gt;1,$S164,0)</f>
        <v>1.1000000000000001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0</v>
      </c>
      <c r="AI164" s="169">
        <f t="shared" ref="AI164:AI195" si="96">IF(T164=1,AD164,0)</f>
        <v>0</v>
      </c>
      <c r="AJ164" s="169">
        <f t="shared" ref="AJ164:AJ195" si="97">IF(T164&gt;1,AD164,0)</f>
        <v>1.1000000000000001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294</v>
      </c>
      <c r="S165" s="169">
        <f>'Alim -Surf'!R8</f>
        <v>3.5</v>
      </c>
      <c r="T165" s="169">
        <f>VLOOKUP(R165,[1]MEP!$A$4:$M$300,13)</f>
        <v>2</v>
      </c>
      <c r="U165" s="169">
        <f t="shared" si="85"/>
        <v>3.5</v>
      </c>
      <c r="V165" s="169">
        <f t="shared" si="86"/>
        <v>3.5</v>
      </c>
      <c r="W165" s="169">
        <f t="shared" si="87"/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93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988.59</v>
      </c>
      <c r="K167" s="169"/>
      <c r="L167" s="169"/>
      <c r="M167" s="169"/>
      <c r="N167" s="169"/>
      <c r="Q167">
        <v>4</v>
      </c>
      <c r="R167" s="169">
        <f>'Alim -Surf'!Q10</f>
        <v>15</v>
      </c>
      <c r="S167" s="169">
        <f>'Alim -Surf'!R10</f>
        <v>1.5</v>
      </c>
      <c r="T167" s="169">
        <f>VLOOKUP(R167,[1]MEP!$A$4:$M$300,13)</f>
        <v>2</v>
      </c>
      <c r="U167" s="169">
        <f t="shared" si="85"/>
        <v>1.5</v>
      </c>
      <c r="V167" s="169">
        <f t="shared" si="86"/>
        <v>1.5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0</v>
      </c>
      <c r="AJ167" s="169">
        <f t="shared" si="97"/>
        <v>1.5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294</v>
      </c>
      <c r="S168" s="169">
        <f>'Alim -Surf'!R11</f>
        <v>0.7</v>
      </c>
      <c r="T168" s="169">
        <f>VLOOKUP(R168,[1]MEP!$A$4:$M$300,13)</f>
        <v>2</v>
      </c>
      <c r="U168" s="169">
        <f t="shared" si="85"/>
        <v>0.7</v>
      </c>
      <c r="V168" s="169">
        <f t="shared" si="86"/>
        <v>0.7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0.7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0.7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294</v>
      </c>
      <c r="S169" s="169">
        <f>'Alim -Surf'!R12</f>
        <v>1</v>
      </c>
      <c r="T169" s="169">
        <f>VLOOKUP(R169,[1]MEP!$A$4:$M$300,13)</f>
        <v>2</v>
      </c>
      <c r="U169" s="169">
        <f t="shared" si="85"/>
        <v>1</v>
      </c>
      <c r="V169" s="169">
        <f t="shared" si="86"/>
        <v>1</v>
      </c>
      <c r="W169" s="169">
        <f t="shared" si="87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1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1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16140.874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-10682.485299999989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-10682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-18682.485299999989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-18682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15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47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47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11.8</v>
      </c>
      <c r="V228" s="62">
        <f>SUM(V164:V227)</f>
        <v>11.8</v>
      </c>
      <c r="W228" s="62">
        <f>SUM(W164:W227)</f>
        <v>0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13.4</v>
      </c>
      <c r="AI228" s="62">
        <f t="shared" si="111"/>
        <v>0</v>
      </c>
      <c r="AJ228" s="62">
        <f t="shared" si="111"/>
        <v>11.8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0</v>
      </c>
      <c r="U234" t="s">
        <v>927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2</v>
      </c>
      <c r="X245" s="169">
        <f>ROUND((([1]Protect!$B$5/[1]Protect!$B$11)+[1]Protect!$B$8)*T245,0)</f>
        <v>1809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921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920</v>
      </c>
      <c r="X248" s="169">
        <f>SUM(X245:X247)</f>
        <v>1809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3617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0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1</v>
      </c>
      <c r="U256" s="169">
        <f>IF(T256=0,0,[1]Protect!$B76)</f>
        <v>7500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0</v>
      </c>
      <c r="U257" s="169">
        <f>IF(T257=0,0,[1]Protect!$B77)</f>
        <v>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0</v>
      </c>
      <c r="U258" s="169">
        <f>IF(T258=0,0,[1]Protect!$B78)</f>
        <v>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2893.6000000000004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2893.6000000000004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E304" sqref="E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Z1_OL_T3_s5</v>
      </c>
      <c r="D1" s="268" t="str">
        <f>CONCATENATE(C1,"_corr")</f>
        <v>Z1_OL_T3_s5_corr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0</v>
      </c>
      <c r="D23" s="179">
        <f t="shared" si="0"/>
        <v>0</v>
      </c>
    </row>
    <row r="24" spans="2:5" x14ac:dyDescent="0.25">
      <c r="B24" s="14" t="s">
        <v>571</v>
      </c>
      <c r="C24" s="179">
        <f>Scénario!K55</f>
        <v>0</v>
      </c>
      <c r="D24" s="179">
        <f t="shared" si="0"/>
        <v>0</v>
      </c>
    </row>
    <row r="25" spans="2:5" x14ac:dyDescent="0.25">
      <c r="B25" s="14" t="s">
        <v>570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567</v>
      </c>
      <c r="C26" s="179" t="str">
        <f>Scénario!K57</f>
        <v>3. 7 visites par semaine</v>
      </c>
      <c r="D26" s="179" t="str">
        <f t="shared" si="0"/>
        <v>3. 7 visites par semaine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5</v>
      </c>
      <c r="D51" s="179">
        <f t="shared" si="1"/>
        <v>5</v>
      </c>
      <c r="E51" s="14"/>
    </row>
    <row r="52" spans="1:132" x14ac:dyDescent="0.25">
      <c r="B52" s="19" t="s">
        <v>528</v>
      </c>
      <c r="C52" s="179">
        <f>Scénario!K84</f>
        <v>0</v>
      </c>
      <c r="D52" s="179">
        <f t="shared" si="1"/>
        <v>0</v>
      </c>
      <c r="E52" s="14"/>
    </row>
    <row r="53" spans="1:132" x14ac:dyDescent="0.25">
      <c r="B53" s="14" t="s">
        <v>516</v>
      </c>
      <c r="C53" s="179">
        <f>Scénario!K88</f>
        <v>0</v>
      </c>
      <c r="D53" s="179">
        <f t="shared" si="1"/>
        <v>0</v>
      </c>
      <c r="E53" s="14"/>
    </row>
    <row r="54" spans="1:132" x14ac:dyDescent="0.25">
      <c r="B54" s="14" t="s">
        <v>512</v>
      </c>
      <c r="C54" s="179">
        <f>Scénario!K89</f>
        <v>0</v>
      </c>
      <c r="D54" s="179">
        <f t="shared" si="1"/>
        <v>0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0</v>
      </c>
      <c r="D59" s="179">
        <f t="shared" si="1"/>
        <v>0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1</v>
      </c>
      <c r="D61" s="179">
        <f t="shared" si="1"/>
        <v>1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35.452400520833329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35.452400520833329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lot5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1.407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11.8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11.8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0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fort</v>
      </c>
      <c r="AV88" s="169">
        <f t="shared" si="38"/>
        <v>2</v>
      </c>
      <c r="AW88" s="169">
        <f t="shared" si="38"/>
        <v>2</v>
      </c>
      <c r="AX88" s="169">
        <f t="shared" si="38"/>
        <v>2</v>
      </c>
      <c r="AY88" s="169">
        <f t="shared" si="38"/>
        <v>2</v>
      </c>
      <c r="AZ88" s="169">
        <f t="shared" si="38"/>
        <v>2</v>
      </c>
      <c r="BA88" s="169">
        <f t="shared" si="38"/>
        <v>2</v>
      </c>
      <c r="BB88" s="169">
        <f t="shared" si="38"/>
        <v>2</v>
      </c>
      <c r="BC88" s="169">
        <f t="shared" si="38"/>
        <v>2</v>
      </c>
      <c r="BD88" s="169">
        <f t="shared" si="38"/>
        <v>2</v>
      </c>
      <c r="BE88" s="169">
        <f t="shared" si="38"/>
        <v>2</v>
      </c>
      <c r="BF88" s="169">
        <f t="shared" si="39"/>
        <v>2</v>
      </c>
      <c r="BG88" s="169">
        <f t="shared" si="39"/>
        <v>2</v>
      </c>
      <c r="BH88" s="169">
        <f t="shared" si="39"/>
        <v>2</v>
      </c>
      <c r="BI88" s="169">
        <f t="shared" si="39"/>
        <v>2</v>
      </c>
      <c r="BJ88" s="169">
        <f t="shared" si="39"/>
        <v>2</v>
      </c>
      <c r="BK88" s="169">
        <f t="shared" si="39"/>
        <v>2</v>
      </c>
      <c r="BL88" s="169">
        <f t="shared" si="39"/>
        <v>2</v>
      </c>
      <c r="BM88" s="169">
        <f t="shared" si="39"/>
        <v>2</v>
      </c>
      <c r="BN88" s="169">
        <f t="shared" si="39"/>
        <v>2</v>
      </c>
      <c r="BO88" s="169">
        <f t="shared" si="39"/>
        <v>2</v>
      </c>
      <c r="BP88" s="169">
        <f t="shared" si="39"/>
        <v>2</v>
      </c>
      <c r="BQ88" s="169">
        <f t="shared" si="39"/>
        <v>2</v>
      </c>
      <c r="BR88" s="169">
        <f t="shared" si="39"/>
        <v>2</v>
      </c>
      <c r="BS88" s="169">
        <f t="shared" si="39"/>
        <v>2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0</v>
      </c>
      <c r="CC88" s="169">
        <f t="shared" si="41"/>
        <v>0</v>
      </c>
      <c r="CD88" s="169">
        <f t="shared" si="41"/>
        <v>0</v>
      </c>
      <c r="CE88" s="169">
        <f t="shared" si="41"/>
        <v>0</v>
      </c>
      <c r="CF88" s="169">
        <f t="shared" si="41"/>
        <v>0</v>
      </c>
      <c r="CG88" s="169">
        <f t="shared" si="41"/>
        <v>0</v>
      </c>
      <c r="CH88" s="169">
        <f t="shared" si="41"/>
        <v>0</v>
      </c>
      <c r="CI88" s="169">
        <f t="shared" si="41"/>
        <v>0</v>
      </c>
      <c r="CJ88" s="169">
        <f t="shared" si="41"/>
        <v>0</v>
      </c>
      <c r="CK88" s="169">
        <f t="shared" si="41"/>
        <v>0</v>
      </c>
      <c r="CL88" s="169">
        <f t="shared" si="42"/>
        <v>0</v>
      </c>
      <c r="CM88" s="169">
        <f t="shared" si="42"/>
        <v>0</v>
      </c>
      <c r="CN88" s="169">
        <f t="shared" si="42"/>
        <v>0</v>
      </c>
      <c r="CO88" s="169">
        <f t="shared" si="42"/>
        <v>0</v>
      </c>
      <c r="CP88" s="169">
        <f t="shared" si="42"/>
        <v>0</v>
      </c>
      <c r="CQ88" s="169">
        <f t="shared" si="42"/>
        <v>0</v>
      </c>
      <c r="CR88" s="169">
        <f t="shared" si="42"/>
        <v>0</v>
      </c>
      <c r="CS88" s="169">
        <f t="shared" si="42"/>
        <v>0</v>
      </c>
      <c r="CT88" s="169">
        <f t="shared" si="42"/>
        <v>0</v>
      </c>
      <c r="CU88" s="169">
        <f t="shared" si="42"/>
        <v>0</v>
      </c>
      <c r="CV88" s="169">
        <f t="shared" si="42"/>
        <v>0</v>
      </c>
      <c r="CW88" s="169">
        <f t="shared" si="42"/>
        <v>0</v>
      </c>
      <c r="CX88" s="169">
        <f t="shared" si="42"/>
        <v>0</v>
      </c>
      <c r="CY88" s="169">
        <f t="shared" si="42"/>
        <v>0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13.4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fort</v>
      </c>
      <c r="AV90" s="169">
        <f t="shared" si="38"/>
        <v>2</v>
      </c>
      <c r="AW90" s="169">
        <f t="shared" si="38"/>
        <v>2</v>
      </c>
      <c r="AX90" s="169">
        <f t="shared" si="38"/>
        <v>2</v>
      </c>
      <c r="AY90" s="169">
        <f t="shared" si="38"/>
        <v>2</v>
      </c>
      <c r="AZ90" s="169">
        <f t="shared" si="38"/>
        <v>2</v>
      </c>
      <c r="BA90" s="169">
        <f t="shared" si="38"/>
        <v>2</v>
      </c>
      <c r="BB90" s="169">
        <f t="shared" si="38"/>
        <v>2</v>
      </c>
      <c r="BC90" s="169">
        <f t="shared" si="38"/>
        <v>2</v>
      </c>
      <c r="BD90" s="169">
        <f t="shared" si="38"/>
        <v>2</v>
      </c>
      <c r="BE90" s="169">
        <f t="shared" si="38"/>
        <v>2</v>
      </c>
      <c r="BF90" s="169">
        <f t="shared" si="39"/>
        <v>2</v>
      </c>
      <c r="BG90" s="169">
        <f t="shared" si="39"/>
        <v>2</v>
      </c>
      <c r="BH90" s="169">
        <f t="shared" si="39"/>
        <v>2</v>
      </c>
      <c r="BI90" s="169">
        <f t="shared" si="39"/>
        <v>2</v>
      </c>
      <c r="BJ90" s="169">
        <f t="shared" si="39"/>
        <v>2</v>
      </c>
      <c r="BK90" s="169">
        <f t="shared" si="39"/>
        <v>2</v>
      </c>
      <c r="BL90" s="169">
        <f t="shared" si="39"/>
        <v>2</v>
      </c>
      <c r="BM90" s="169">
        <f t="shared" si="39"/>
        <v>2</v>
      </c>
      <c r="BN90" s="169">
        <f t="shared" si="39"/>
        <v>2</v>
      </c>
      <c r="BO90" s="169">
        <f t="shared" si="39"/>
        <v>2</v>
      </c>
      <c r="BP90" s="169">
        <f t="shared" si="39"/>
        <v>2</v>
      </c>
      <c r="BQ90" s="169">
        <f t="shared" si="39"/>
        <v>2</v>
      </c>
      <c r="BR90" s="169">
        <f t="shared" si="39"/>
        <v>2</v>
      </c>
      <c r="BS90" s="169">
        <f t="shared" si="39"/>
        <v>2</v>
      </c>
      <c r="BZ90" s="187" t="str">
        <f t="shared" si="40"/>
        <v>lot4</v>
      </c>
      <c r="CA90" s="197">
        <f>Scénario!K109</f>
        <v>0</v>
      </c>
      <c r="CB90" s="169">
        <f t="shared" si="41"/>
        <v>0</v>
      </c>
      <c r="CC90" s="169">
        <f t="shared" si="41"/>
        <v>0</v>
      </c>
      <c r="CD90" s="169">
        <f t="shared" si="41"/>
        <v>0</v>
      </c>
      <c r="CE90" s="169">
        <f t="shared" si="41"/>
        <v>0</v>
      </c>
      <c r="CF90" s="169">
        <f t="shared" si="41"/>
        <v>0</v>
      </c>
      <c r="CG90" s="169">
        <f t="shared" si="41"/>
        <v>0</v>
      </c>
      <c r="CH90" s="169">
        <f t="shared" si="41"/>
        <v>0</v>
      </c>
      <c r="CI90" s="169">
        <f t="shared" si="41"/>
        <v>0</v>
      </c>
      <c r="CJ90" s="169">
        <f t="shared" si="41"/>
        <v>0</v>
      </c>
      <c r="CK90" s="169">
        <f t="shared" si="41"/>
        <v>0</v>
      </c>
      <c r="CL90" s="169">
        <f t="shared" si="42"/>
        <v>0</v>
      </c>
      <c r="CM90" s="169">
        <f t="shared" si="42"/>
        <v>0</v>
      </c>
      <c r="CN90" s="169">
        <f t="shared" si="42"/>
        <v>0</v>
      </c>
      <c r="CO90" s="169">
        <f t="shared" si="42"/>
        <v>0</v>
      </c>
      <c r="CP90" s="169">
        <f t="shared" si="42"/>
        <v>0</v>
      </c>
      <c r="CQ90" s="169">
        <f t="shared" si="42"/>
        <v>0</v>
      </c>
      <c r="CR90" s="169">
        <f t="shared" si="42"/>
        <v>0</v>
      </c>
      <c r="CS90" s="169">
        <f t="shared" si="42"/>
        <v>0</v>
      </c>
      <c r="CT90" s="169">
        <f t="shared" si="42"/>
        <v>0</v>
      </c>
      <c r="CU90" s="169">
        <f t="shared" si="42"/>
        <v>0</v>
      </c>
      <c r="CV90" s="169">
        <f t="shared" si="42"/>
        <v>0</v>
      </c>
      <c r="CW90" s="169">
        <f t="shared" si="42"/>
        <v>0</v>
      </c>
      <c r="CX90" s="169">
        <f t="shared" si="42"/>
        <v>0</v>
      </c>
      <c r="CY90" s="169">
        <f t="shared" si="42"/>
        <v>0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lot5</v>
      </c>
      <c r="AU91" s="197" t="str">
        <f>Scénario!K100</f>
        <v>fort</v>
      </c>
      <c r="AV91" s="169">
        <f t="shared" si="38"/>
        <v>2</v>
      </c>
      <c r="AW91" s="169">
        <f t="shared" si="38"/>
        <v>2</v>
      </c>
      <c r="AX91" s="169">
        <f t="shared" si="38"/>
        <v>2</v>
      </c>
      <c r="AY91" s="169">
        <f t="shared" si="38"/>
        <v>2</v>
      </c>
      <c r="AZ91" s="169">
        <f t="shared" si="38"/>
        <v>2</v>
      </c>
      <c r="BA91" s="169">
        <f t="shared" si="38"/>
        <v>2</v>
      </c>
      <c r="BB91" s="169">
        <f t="shared" si="38"/>
        <v>2</v>
      </c>
      <c r="BC91" s="169">
        <f t="shared" si="38"/>
        <v>2</v>
      </c>
      <c r="BD91" s="169">
        <f t="shared" si="38"/>
        <v>2</v>
      </c>
      <c r="BE91" s="169">
        <f t="shared" si="38"/>
        <v>2</v>
      </c>
      <c r="BF91" s="169">
        <f t="shared" si="39"/>
        <v>2</v>
      </c>
      <c r="BG91" s="169">
        <f t="shared" si="39"/>
        <v>2</v>
      </c>
      <c r="BH91" s="169">
        <f t="shared" si="39"/>
        <v>2</v>
      </c>
      <c r="BI91" s="169">
        <f t="shared" si="39"/>
        <v>2</v>
      </c>
      <c r="BJ91" s="169">
        <f t="shared" si="39"/>
        <v>2</v>
      </c>
      <c r="BK91" s="169">
        <f t="shared" si="39"/>
        <v>2</v>
      </c>
      <c r="BL91" s="169">
        <f t="shared" si="39"/>
        <v>2</v>
      </c>
      <c r="BM91" s="169">
        <f t="shared" si="39"/>
        <v>2</v>
      </c>
      <c r="BN91" s="169">
        <f t="shared" si="39"/>
        <v>2</v>
      </c>
      <c r="BO91" s="169">
        <f t="shared" si="39"/>
        <v>2</v>
      </c>
      <c r="BP91" s="169">
        <f t="shared" si="39"/>
        <v>2</v>
      </c>
      <c r="BQ91" s="169">
        <f t="shared" si="39"/>
        <v>2</v>
      </c>
      <c r="BR91" s="169">
        <f t="shared" si="39"/>
        <v>2</v>
      </c>
      <c r="BS91" s="169">
        <f t="shared" si="39"/>
        <v>2</v>
      </c>
      <c r="BZ91" s="187" t="str">
        <f t="shared" si="40"/>
        <v>lot5</v>
      </c>
      <c r="CA91" s="197">
        <f>Scénario!K110</f>
        <v>0</v>
      </c>
      <c r="CB91" s="169">
        <f t="shared" si="41"/>
        <v>0</v>
      </c>
      <c r="CC91" s="169">
        <f t="shared" si="41"/>
        <v>0</v>
      </c>
      <c r="CD91" s="169">
        <f t="shared" si="41"/>
        <v>0</v>
      </c>
      <c r="CE91" s="169">
        <f t="shared" si="41"/>
        <v>0</v>
      </c>
      <c r="CF91" s="169">
        <f t="shared" si="41"/>
        <v>0</v>
      </c>
      <c r="CG91" s="169">
        <f t="shared" si="41"/>
        <v>0</v>
      </c>
      <c r="CH91" s="169">
        <f t="shared" si="41"/>
        <v>0</v>
      </c>
      <c r="CI91" s="169">
        <f t="shared" si="41"/>
        <v>0</v>
      </c>
      <c r="CJ91" s="169">
        <f t="shared" si="41"/>
        <v>0</v>
      </c>
      <c r="CK91" s="169">
        <f t="shared" si="41"/>
        <v>0</v>
      </c>
      <c r="CL91" s="169">
        <f t="shared" si="42"/>
        <v>0</v>
      </c>
      <c r="CM91" s="169">
        <f t="shared" si="42"/>
        <v>0</v>
      </c>
      <c r="CN91" s="169">
        <f t="shared" si="42"/>
        <v>0</v>
      </c>
      <c r="CO91" s="169">
        <f t="shared" si="42"/>
        <v>0</v>
      </c>
      <c r="CP91" s="169">
        <f t="shared" si="42"/>
        <v>0</v>
      </c>
      <c r="CQ91" s="169">
        <f t="shared" si="42"/>
        <v>0</v>
      </c>
      <c r="CR91" s="169">
        <f t="shared" si="42"/>
        <v>0</v>
      </c>
      <c r="CS91" s="169">
        <f t="shared" si="42"/>
        <v>0</v>
      </c>
      <c r="CT91" s="169">
        <f t="shared" si="42"/>
        <v>0</v>
      </c>
      <c r="CU91" s="169">
        <f t="shared" si="42"/>
        <v>0</v>
      </c>
      <c r="CV91" s="169">
        <f t="shared" si="42"/>
        <v>0</v>
      </c>
      <c r="CW91" s="169">
        <f t="shared" si="42"/>
        <v>0</v>
      </c>
      <c r="CX91" s="169">
        <f t="shared" si="42"/>
        <v>0</v>
      </c>
      <c r="CY91" s="169">
        <f t="shared" si="42"/>
        <v>0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1</v>
      </c>
      <c r="AD95" s="30">
        <f>CdTrp1!X77</f>
        <v>1</v>
      </c>
      <c r="AE95" s="30">
        <f>CdTrp1!Y77</f>
        <v>1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2</v>
      </c>
      <c r="D98" s="169">
        <f t="shared" ref="D98:D136" si="46">C98</f>
        <v>2</v>
      </c>
      <c r="F98" s="14"/>
      <c r="G98" s="263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3</v>
      </c>
      <c r="BA98" s="169">
        <f>IF(CdTrp1!G52=1,3,IF(CdTrp1!G52=0.5,2,IF(CdTrp1!G52=0,1,0)))</f>
        <v>3</v>
      </c>
      <c r="BB98" s="169">
        <f>IF(CdTrp1!H52=1,3,IF(CdTrp1!H52=0.5,2,IF(CdTrp1!H52=0,1,0)))</f>
        <v>3</v>
      </c>
      <c r="BC98" s="169">
        <f>IF(CdTrp1!I52=1,3,IF(CdTrp1!I52=0.5,2,IF(CdTrp1!I52=0,1,0)))</f>
        <v>3</v>
      </c>
      <c r="BD98" s="169">
        <f>IF(CdTrp1!J52=1,3,IF(CdTrp1!J52=0.5,2,IF(CdTrp1!J52=0,1,0)))</f>
        <v>3</v>
      </c>
      <c r="BE98" s="169">
        <f>IF(CdTrp1!K52=1,3,IF(CdTrp1!K52=0.5,2,IF(CdTrp1!K52=0,1,0)))</f>
        <v>3</v>
      </c>
      <c r="BF98" s="169">
        <f>IF(CdTrp1!L52=1,3,IF(CdTrp1!L52=0.5,2,IF(CdTrp1!L52=0,1,0)))</f>
        <v>3</v>
      </c>
      <c r="BG98" s="169">
        <f>IF(CdTrp1!M52=1,3,IF(CdTrp1!M52=0.5,2,IF(CdTrp1!M52=0,1,0)))</f>
        <v>3</v>
      </c>
      <c r="BH98" s="169">
        <f>IF(CdTrp1!N52=1,3,IF(CdTrp1!N52=0.5,2,IF(CdTrp1!N52=0,1,0)))</f>
        <v>3</v>
      </c>
      <c r="BI98" s="169">
        <f>IF(CdTrp1!O52=1,3,IF(CdTrp1!O52=0.5,2,IF(CdTrp1!O52=0,1,0)))</f>
        <v>3</v>
      </c>
      <c r="BJ98" s="169">
        <f>IF(CdTrp1!P52=1,3,IF(CdTrp1!P52=0.5,2,IF(CdTrp1!P52=0,1,0)))</f>
        <v>3</v>
      </c>
      <c r="BK98" s="169">
        <f>IF(CdTrp1!Q52=1,3,IF(CdTrp1!Q52=0.5,2,IF(CdTrp1!Q52=0,1,0)))</f>
        <v>3</v>
      </c>
      <c r="BL98" s="169">
        <f>IF(CdTrp1!R52=1,3,IF(CdTrp1!R52=0.5,2,IF(CdTrp1!R52=0,1,0)))</f>
        <v>3</v>
      </c>
      <c r="BM98" s="169">
        <f>IF(CdTrp1!S52=1,3,IF(CdTrp1!S52=0.5,2,IF(CdTrp1!S52=0,1,0)))</f>
        <v>3</v>
      </c>
      <c r="BN98" s="169">
        <f>IF(CdTrp1!T52=1,3,IF(CdTrp1!T52=0.5,2,IF(CdTrp1!T52=0,1,0)))</f>
        <v>3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3</v>
      </c>
      <c r="BC99" s="169">
        <f>IF(CdTrp1!I53=1,3,IF(CdTrp1!I53=0.5,2,IF(CdTrp1!I53=0,1,0)))</f>
        <v>3</v>
      </c>
      <c r="BD99" s="169">
        <f>IF(CdTrp1!J53=1,3,IF(CdTrp1!J53=0.5,2,IF(CdTrp1!J53=0,1,0)))</f>
        <v>3</v>
      </c>
      <c r="BE99" s="169">
        <f>IF(CdTrp1!K53=1,3,IF(CdTrp1!K53=0.5,2,IF(CdTrp1!K53=0,1,0)))</f>
        <v>3</v>
      </c>
      <c r="BF99" s="169">
        <f>IF(CdTrp1!L53=1,3,IF(CdTrp1!L53=0.5,2,IF(CdTrp1!L53=0,1,0)))</f>
        <v>3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3</v>
      </c>
      <c r="BN99" s="169">
        <f>IF(CdTrp1!T53=1,3,IF(CdTrp1!T53=0.5,2,IF(CdTrp1!T53=0,1,0)))</f>
        <v>3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2</v>
      </c>
      <c r="D101" s="169">
        <f t="shared" si="46"/>
        <v>2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3</v>
      </c>
      <c r="BB101" s="169">
        <f>IF(CdTrp1!H55=1,3,IF(CdTrp1!H55=0.5,2,IF(CdTrp1!H55=0,1,0)))</f>
        <v>3</v>
      </c>
      <c r="BC101" s="169">
        <f>IF(CdTrp1!I55=1,3,IF(CdTrp1!I55=0.5,2,IF(CdTrp1!I55=0,1,0)))</f>
        <v>3</v>
      </c>
      <c r="BD101" s="169">
        <f>IF(CdTrp1!J55=1,3,IF(CdTrp1!J55=0.5,2,IF(CdTrp1!J55=0,1,0)))</f>
        <v>3</v>
      </c>
      <c r="BE101" s="169">
        <f>IF(CdTrp1!K55=1,3,IF(CdTrp1!K55=0.5,2,IF(CdTrp1!K55=0,1,0)))</f>
        <v>3</v>
      </c>
      <c r="BF101" s="169">
        <f>IF(CdTrp1!L55=1,3,IF(CdTrp1!L55=0.5,2,IF(CdTrp1!L55=0,1,0)))</f>
        <v>3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3</v>
      </c>
      <c r="BN101" s="169">
        <f>IF(CdTrp1!T55=1,3,IF(CdTrp1!T55=0.5,2,IF(CdTrp1!T55=0,1,0)))</f>
        <v>3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17</v>
      </c>
      <c r="D106" s="169">
        <f t="shared" si="46"/>
        <v>17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17</v>
      </c>
      <c r="D109" s="169">
        <f t="shared" si="46"/>
        <v>17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17</v>
      </c>
      <c r="D110" s="169">
        <f t="shared" si="46"/>
        <v>17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1</v>
      </c>
      <c r="AW110" s="169">
        <f>IF(CdTrp1!C77=1,1,IF(CdTrp1!C77=2,2,IF(CdTrp1!C77=3,2,IF(CdTrp1!C77=4,4,0))))</f>
        <v>1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1</v>
      </c>
      <c r="BA110" s="169">
        <f>IF(CdTrp1!G77=1,1,IF(CdTrp1!G77=2,2,IF(CdTrp1!G77=3,2,IF(CdTrp1!G77=4,4,0))))</f>
        <v>1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1</v>
      </c>
      <c r="BQ110" s="169">
        <f>IF(CdTrp1!W77=1,1,IF(CdTrp1!W77=2,2,IF(CdTrp1!W77=3,2,IF(CdTrp1!W77=4,4,0))))</f>
        <v>1</v>
      </c>
      <c r="BR110" s="169">
        <f>IF(CdTrp1!X77=1,1,IF(CdTrp1!X77=2,2,IF(CdTrp1!X77=3,2,IF(CdTrp1!X77=4,4,0))))</f>
        <v>1</v>
      </c>
      <c r="BS110" s="169">
        <f>IF(CdTrp1!Y77=1,1,IF(CdTrp1!Y77=2,2,IF(CdTrp1!Y77=3,2,IF(CdTrp1!Y77=4,4,0))))</f>
        <v>1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0</v>
      </c>
      <c r="D113" s="169">
        <f t="shared" si="46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0</v>
      </c>
      <c r="D116" s="169">
        <f t="shared" si="46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0</v>
      </c>
      <c r="D122" s="169">
        <f t="shared" si="46"/>
        <v>0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0</v>
      </c>
      <c r="D125" s="169">
        <f t="shared" si="46"/>
        <v>0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0</v>
      </c>
      <c r="D128" s="169">
        <f t="shared" si="46"/>
        <v>0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1</v>
      </c>
      <c r="I129">
        <f t="shared" si="56"/>
        <v>1</v>
      </c>
      <c r="J129">
        <f t="shared" si="56"/>
        <v>1</v>
      </c>
      <c r="K129">
        <f t="shared" si="56"/>
        <v>2</v>
      </c>
      <c r="L129">
        <f t="shared" si="56"/>
        <v>2</v>
      </c>
      <c r="M129">
        <f t="shared" si="56"/>
        <v>2</v>
      </c>
      <c r="N129">
        <f t="shared" si="56"/>
        <v>2</v>
      </c>
      <c r="O129">
        <f t="shared" si="56"/>
        <v>2</v>
      </c>
      <c r="P129">
        <f t="shared" si="56"/>
        <v>2</v>
      </c>
      <c r="Q129">
        <f t="shared" si="56"/>
        <v>2</v>
      </c>
      <c r="R129">
        <f t="shared" si="56"/>
        <v>2</v>
      </c>
      <c r="S129">
        <f t="shared" si="56"/>
        <v>1</v>
      </c>
      <c r="T129">
        <f t="shared" si="56"/>
        <v>1</v>
      </c>
      <c r="U129">
        <f t="shared" si="56"/>
        <v>1</v>
      </c>
      <c r="V129">
        <f t="shared" si="56"/>
        <v>1</v>
      </c>
      <c r="W129">
        <f t="shared" si="56"/>
        <v>1</v>
      </c>
      <c r="X129">
        <f t="shared" si="56"/>
        <v>1</v>
      </c>
      <c r="Y129">
        <f t="shared" si="56"/>
        <v>2</v>
      </c>
      <c r="Z129">
        <f t="shared" si="56"/>
        <v>2</v>
      </c>
      <c r="AA129">
        <f t="shared" si="56"/>
        <v>1</v>
      </c>
      <c r="AB129">
        <f t="shared" si="56"/>
        <v>1</v>
      </c>
      <c r="AC129">
        <f t="shared" si="56"/>
        <v>1</v>
      </c>
      <c r="AD129">
        <f t="shared" si="56"/>
        <v>1</v>
      </c>
      <c r="AE129">
        <f t="shared" si="56"/>
        <v>1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1</v>
      </c>
      <c r="I132">
        <f t="shared" si="59"/>
        <v>1</v>
      </c>
      <c r="J132">
        <f t="shared" si="59"/>
        <v>1</v>
      </c>
      <c r="K132">
        <f t="shared" si="59"/>
        <v>2</v>
      </c>
      <c r="L132">
        <f t="shared" si="59"/>
        <v>2</v>
      </c>
      <c r="M132">
        <f t="shared" si="59"/>
        <v>2</v>
      </c>
      <c r="N132">
        <f t="shared" si="59"/>
        <v>2</v>
      </c>
      <c r="O132">
        <f t="shared" si="59"/>
        <v>2</v>
      </c>
      <c r="P132">
        <f t="shared" si="59"/>
        <v>2</v>
      </c>
      <c r="Q132">
        <f t="shared" si="59"/>
        <v>2</v>
      </c>
      <c r="R132">
        <f t="shared" si="59"/>
        <v>2</v>
      </c>
      <c r="S132">
        <f t="shared" si="59"/>
        <v>1</v>
      </c>
      <c r="T132">
        <f t="shared" si="59"/>
        <v>1</v>
      </c>
      <c r="U132">
        <f t="shared" si="59"/>
        <v>1</v>
      </c>
      <c r="V132">
        <f t="shared" si="59"/>
        <v>1</v>
      </c>
      <c r="W132">
        <f t="shared" si="59"/>
        <v>1</v>
      </c>
      <c r="X132">
        <f t="shared" si="59"/>
        <v>1</v>
      </c>
      <c r="Y132">
        <f t="shared" si="59"/>
        <v>2</v>
      </c>
      <c r="Z132">
        <f t="shared" si="59"/>
        <v>2</v>
      </c>
      <c r="AA132">
        <f t="shared" si="59"/>
        <v>1</v>
      </c>
      <c r="AB132">
        <f t="shared" si="59"/>
        <v>1</v>
      </c>
      <c r="AC132">
        <f t="shared" si="59"/>
        <v>1</v>
      </c>
      <c r="AD132">
        <f t="shared" si="59"/>
        <v>1</v>
      </c>
      <c r="AE132">
        <f t="shared" si="59"/>
        <v>1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1</v>
      </c>
      <c r="D133" s="262">
        <f t="shared" si="46"/>
        <v>1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0</v>
      </c>
      <c r="T134">
        <f t="shared" si="69"/>
        <v>0</v>
      </c>
      <c r="U134">
        <f t="shared" si="69"/>
        <v>0</v>
      </c>
      <c r="V134">
        <f t="shared" si="69"/>
        <v>0</v>
      </c>
      <c r="W134">
        <f t="shared" si="69"/>
        <v>0</v>
      </c>
      <c r="X134">
        <f t="shared" si="69"/>
        <v>0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1</v>
      </c>
      <c r="D136" s="262">
        <f t="shared" si="46"/>
        <v>1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lot5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0</v>
      </c>
      <c r="T137">
        <f t="shared" si="82"/>
        <v>0</v>
      </c>
      <c r="U137">
        <f t="shared" si="82"/>
        <v>0</v>
      </c>
      <c r="V137">
        <f t="shared" si="82"/>
        <v>0</v>
      </c>
      <c r="W137">
        <f t="shared" si="82"/>
        <v>0</v>
      </c>
      <c r="X137">
        <f t="shared" si="82"/>
        <v>0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lot5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0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191.12266181248128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0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0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76.556899999999999</v>
      </c>
      <c r="D171" s="261">
        <f t="shared" si="81"/>
        <v>0</v>
      </c>
      <c r="AT171" s="187" t="str">
        <f t="shared" si="159"/>
        <v>lot5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191.2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0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 t="e">
        <f>ROUND((1 -(C173/C169))*100,1)</f>
        <v>#DIV/0!</v>
      </c>
      <c r="D174" s="261" t="e">
        <f t="shared" si="81"/>
        <v>#DIV/0!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-114.64309999999999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114.64309999999999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40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0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0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0</v>
      </c>
      <c r="D185" s="169">
        <f t="shared" ref="D185:D191" si="165">C185</f>
        <v>0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0</v>
      </c>
      <c r="D187" s="169">
        <f t="shared" si="165"/>
        <v>0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2</v>
      </c>
      <c r="D189" s="169">
        <f t="shared" si="165"/>
        <v>2</v>
      </c>
      <c r="AH189" s="15"/>
      <c r="AJ189" s="14" t="s">
        <v>923</v>
      </c>
      <c r="AK189" s="30">
        <f>D189</f>
        <v>2</v>
      </c>
      <c r="AO189" s="169">
        <f>ROUND((([1]Protect!$B$5/[1]Protect!$B$11)+[1]Protect!$B$8)*AK189,0)</f>
        <v>1809</v>
      </c>
    </row>
    <row r="190" spans="1:132" x14ac:dyDescent="0.25">
      <c r="B190" s="14" t="s">
        <v>1245</v>
      </c>
      <c r="C190" s="169">
        <f>'Calcul éco'!T246*(30)</f>
        <v>0</v>
      </c>
      <c r="D190" s="169">
        <f t="shared" si="165"/>
        <v>0</v>
      </c>
      <c r="AH190" s="15"/>
      <c r="AJ190" s="14" t="s">
        <v>922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1244</v>
      </c>
      <c r="C191" s="193">
        <f>ROUND(SUM(Travail!F69:F74)/8,1)</f>
        <v>0</v>
      </c>
      <c r="D191" s="169">
        <f t="shared" si="165"/>
        <v>0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1240</v>
      </c>
      <c r="C192" s="169">
        <f>(Travail!F83+Travail!F84)/8</f>
        <v>0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1809</v>
      </c>
    </row>
    <row r="193" spans="1:43" x14ac:dyDescent="0.25">
      <c r="B193" s="14" t="s">
        <v>1238</v>
      </c>
      <c r="C193" s="169">
        <f>(Travail!F75+Travail!F76+Travail!F81)/8</f>
        <v>11.625</v>
      </c>
      <c r="D193" s="169">
        <f>C193</f>
        <v>11.625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1924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972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0</v>
      </c>
      <c r="AQ207" s="5"/>
    </row>
    <row r="208" spans="1:43" x14ac:dyDescent="0.25">
      <c r="B208" s="245" t="s">
        <v>1058</v>
      </c>
      <c r="C208" s="169">
        <f>ROUND('Calcul éco'!J44,0)</f>
        <v>1329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1809</v>
      </c>
      <c r="AQ208" s="201"/>
    </row>
    <row r="209" spans="1:43" x14ac:dyDescent="0.25">
      <c r="B209" s="19" t="s">
        <v>1056</v>
      </c>
      <c r="C209" s="169">
        <f>ROUND('Calcul éco'!J45,0)</f>
        <v>5857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1809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0</v>
      </c>
      <c r="D210" s="252">
        <f>ROUND(AL207,0)</f>
        <v>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16594.400000000001</v>
      </c>
      <c r="D211" s="252">
        <f>ROUND(SUM(D201:D210),0)</f>
        <v>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1682.94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27007.091299999996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1809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0</v>
      </c>
      <c r="D220" s="252">
        <f>SUM(AN215:AN219)</f>
        <v>0</v>
      </c>
      <c r="E220" s="17" t="s">
        <v>1191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55533</v>
      </c>
      <c r="D221" s="252">
        <f>ROUND(SUM(D216:D220),0)</f>
        <v>0</v>
      </c>
      <c r="E221" s="17" t="s">
        <v>1191</v>
      </c>
      <c r="H221" s="14" t="s">
        <v>1042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0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0</v>
      </c>
      <c r="AN226" s="169">
        <f>[1]Protect!$B$83</f>
        <v>2000</v>
      </c>
      <c r="AO226" s="169">
        <f>AK226*AN226</f>
        <v>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39.820000000000057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78.000000000000043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-105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1195</v>
      </c>
      <c r="C235" s="169">
        <f>'Calcul éco'!J167</f>
        <v>988.59</v>
      </c>
      <c r="D235" s="252">
        <f>(D191+D192)*8*[1]Eco!$B$106</f>
        <v>0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16141</v>
      </c>
      <c r="D236" s="252">
        <f>ROUND(SUM(D222:D235),0)</f>
        <v>4100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-10683.599999999999</v>
      </c>
      <c r="D237" s="252">
        <f>D194+D211-D221-D236</f>
        <v>-4100</v>
      </c>
    </row>
    <row r="238" spans="1:49" x14ac:dyDescent="0.25">
      <c r="B238" s="245" t="s">
        <v>947</v>
      </c>
      <c r="C238" s="169">
        <f>ROUND(C237/Scénario!$K$4,0)</f>
        <v>-10684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0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-18684</v>
      </c>
      <c r="D241" s="256">
        <f>ROUND(D237-D239-D240,0)</f>
        <v>-12100</v>
      </c>
    </row>
    <row r="242" spans="1:15" x14ac:dyDescent="0.25">
      <c r="B242" s="245" t="s">
        <v>943</v>
      </c>
      <c r="C242" s="169">
        <f>ROUND(C241/Scénario!K4,0)</f>
        <v>-18684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45" t="s">
        <v>1189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1188</v>
      </c>
      <c r="B245" s="14" t="s">
        <v>545</v>
      </c>
      <c r="C245" s="253">
        <f>Travail!F5</f>
        <v>0</v>
      </c>
      <c r="D245" s="169">
        <f>C245</f>
        <v>0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1221.1416874999998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0</v>
      </c>
      <c r="D251" s="169">
        <f>C251</f>
        <v>0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85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85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0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96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0</v>
      </c>
      <c r="D275" s="169">
        <f>C275</f>
        <v>0</v>
      </c>
    </row>
    <row r="276" spans="1:4" x14ac:dyDescent="0.25">
      <c r="A276" s="23"/>
      <c r="B276" s="32" t="s">
        <v>1178</v>
      </c>
      <c r="C276" s="253">
        <f>C192*8</f>
        <v>0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93</v>
      </c>
      <c r="D277" s="169">
        <f>C277</f>
        <v>93</v>
      </c>
    </row>
    <row r="278" spans="1:4" x14ac:dyDescent="0.25">
      <c r="B278" s="32" t="s">
        <v>1176</v>
      </c>
      <c r="C278" s="253">
        <f>Travail!F76</f>
        <v>0</v>
      </c>
      <c r="D278" s="169">
        <f>C278</f>
        <v>0</v>
      </c>
    </row>
    <row r="279" spans="1:4" x14ac:dyDescent="0.25">
      <c r="B279" s="32" t="s">
        <v>1175</v>
      </c>
      <c r="C279" s="253">
        <f>Travail!F86</f>
        <v>0</v>
      </c>
      <c r="D279" s="253">
        <f>C279</f>
        <v>0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2287</v>
      </c>
      <c r="D281" s="252">
        <f>ROUND(D245+D248+D251+D254+D257+D260+D261,0)</f>
        <v>220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8.5299999999999994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2287</v>
      </c>
      <c r="D287" s="252">
        <f>SUM(D281:D283)</f>
        <v>220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283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93</v>
      </c>
      <c r="D290" s="254">
        <f>D275+D276+D277</f>
        <v>93</v>
      </c>
    </row>
    <row r="291" spans="2:4" x14ac:dyDescent="0.25">
      <c r="B291" s="14" t="s">
        <v>1162</v>
      </c>
      <c r="C291" s="253">
        <f>C278+C279+C280</f>
        <v>0</v>
      </c>
      <c r="D291" s="253">
        <f>D278+D279+D280</f>
        <v>0</v>
      </c>
    </row>
    <row r="292" spans="2:4" x14ac:dyDescent="0.25">
      <c r="B292" s="14" t="s">
        <v>761</v>
      </c>
      <c r="C292" s="169">
        <f>ROUND(SUM(C287:C291),0)</f>
        <v>3103</v>
      </c>
      <c r="D292" s="252">
        <f>ROUND(SUM(D287:D291),0)</f>
        <v>753</v>
      </c>
    </row>
    <row r="293" spans="2:4" x14ac:dyDescent="0.25">
      <c r="B293" s="14" t="s">
        <v>760</v>
      </c>
      <c r="C293" s="169">
        <f>ROUND(IF(Scénario!$K$129=1,SUM(C275:C280),SUM(C278:C280)),0)</f>
        <v>93</v>
      </c>
      <c r="D293" s="169">
        <f>ROUND(IF(Scénario!$K$129=1,SUM(D275:D280),SUM(D278:D280)),0)</f>
        <v>93</v>
      </c>
    </row>
    <row r="294" spans="2:4" x14ac:dyDescent="0.25">
      <c r="B294" s="14" t="s">
        <v>759</v>
      </c>
      <c r="C294" s="169">
        <f>ROUND((C292-C293)/C83,0)</f>
        <v>3010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0</v>
      </c>
    </row>
    <row r="299" spans="2:4" x14ac:dyDescent="0.25">
      <c r="B299" s="14" t="s">
        <v>1436</v>
      </c>
      <c r="C299" s="169">
        <f>IF(Troupeau!$B$3="OL",CdTrp1!AA221,0)</f>
        <v>0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7.8</v>
      </c>
    </row>
    <row r="305" spans="2:3" x14ac:dyDescent="0.25">
      <c r="B305" s="14" t="s">
        <v>1442</v>
      </c>
      <c r="C305" s="169">
        <f>Protection!BJ31</f>
        <v>0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0</v>
      </c>
    </row>
    <row r="308" spans="2:3" x14ac:dyDescent="0.25">
      <c r="B308" s="14" t="s">
        <v>1445</v>
      </c>
      <c r="C308" s="169">
        <f>'Calcul éco'!X235</f>
        <v>0</v>
      </c>
    </row>
    <row r="309" spans="2:3" x14ac:dyDescent="0.25">
      <c r="B309" s="14" t="s">
        <v>1446</v>
      </c>
      <c r="C309" s="169">
        <f>'Calcul éco'!X236</f>
        <v>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2" activePane="bottomLeft" state="frozen"/>
      <selection pane="bottomLeft" activeCell="T58" sqref="T5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219+14</f>
        <v>233</v>
      </c>
      <c r="N15" s="272">
        <f t="shared" ref="N15:R15" si="0">219+14</f>
        <v>233</v>
      </c>
      <c r="O15" s="272">
        <f t="shared" si="0"/>
        <v>233</v>
      </c>
      <c r="P15" s="272">
        <f t="shared" si="0"/>
        <v>233</v>
      </c>
      <c r="Q15" s="272">
        <f t="shared" si="0"/>
        <v>233</v>
      </c>
      <c r="R15" s="272">
        <f t="shared" si="0"/>
        <v>233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v>53.6</v>
      </c>
      <c r="N17" s="272">
        <v>53.6</v>
      </c>
      <c r="O17" s="272">
        <v>53.6</v>
      </c>
      <c r="P17" s="272">
        <v>53.6</v>
      </c>
      <c r="Q17" s="272">
        <v>53.6</v>
      </c>
      <c r="R17" s="272">
        <v>53.6</v>
      </c>
      <c r="S17" s="272"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v>5</v>
      </c>
      <c r="T18" s="272">
        <v>5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7.1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160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14793.599999999999</v>
      </c>
      <c r="AK19" s="54">
        <f t="shared" ref="AK19:AK52" si="4">IF($AH19=AK$17,ROUND($AI19/1000,1),0)</f>
        <v>14.8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5145.5999999999995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5.0999999999999996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3"/>
        <v>2</v>
      </c>
      <c r="AI21" s="129">
        <f>Troupeau!B75</f>
        <v>7075.2</v>
      </c>
      <c r="AK21" s="54">
        <f t="shared" si="4"/>
        <v>0</v>
      </c>
      <c r="AL21" s="54">
        <f t="shared" si="5"/>
        <v>7.1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5278.7999999999993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5.3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1081.1999999999998</v>
      </c>
      <c r="AK24" s="54">
        <f t="shared" si="4"/>
        <v>1.1000000000000001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2">C15*C27</f>
        <v>26.621612500000001</v>
      </c>
      <c r="D39" s="61">
        <f t="shared" si="12"/>
        <v>26.398837500000003</v>
      </c>
      <c r="E39" s="61">
        <f t="shared" si="12"/>
        <v>26.1760625</v>
      </c>
      <c r="F39" s="61">
        <f t="shared" si="12"/>
        <v>25.953287499999998</v>
      </c>
      <c r="G39" s="61">
        <f t="shared" si="12"/>
        <v>25.841900000000003</v>
      </c>
      <c r="H39" s="61">
        <f t="shared" si="12"/>
        <v>25.730512500000003</v>
      </c>
      <c r="I39" s="61">
        <f t="shared" si="12"/>
        <v>25.619125</v>
      </c>
      <c r="J39" s="61">
        <f t="shared" si="12"/>
        <v>25.507737500000001</v>
      </c>
      <c r="K39" s="61">
        <f t="shared" si="12"/>
        <v>25.396349999999998</v>
      </c>
      <c r="L39" s="61">
        <f t="shared" si="12"/>
        <v>25.284962500000002</v>
      </c>
      <c r="M39" s="61">
        <f t="shared" si="12"/>
        <v>30.989000000000001</v>
      </c>
      <c r="N39" s="61">
        <f t="shared" si="12"/>
        <v>30.989000000000001</v>
      </c>
      <c r="O39" s="61">
        <f t="shared" si="12"/>
        <v>30.989000000000001</v>
      </c>
      <c r="P39" s="61">
        <f t="shared" si="12"/>
        <v>30.989000000000001</v>
      </c>
      <c r="Q39" s="61">
        <f t="shared" si="12"/>
        <v>30.989000000000001</v>
      </c>
      <c r="R39" s="61">
        <f t="shared" si="12"/>
        <v>30.989000000000001</v>
      </c>
      <c r="S39" s="61">
        <f t="shared" si="12"/>
        <v>23.614150000000002</v>
      </c>
      <c r="T39" s="61">
        <f t="shared" si="12"/>
        <v>23.614150000000002</v>
      </c>
      <c r="U39" s="61">
        <f t="shared" si="12"/>
        <v>28.515200000000004</v>
      </c>
      <c r="V39" s="61">
        <f t="shared" si="12"/>
        <v>26.844387500000003</v>
      </c>
      <c r="W39" s="61">
        <f t="shared" si="12"/>
        <v>26.844387500000003</v>
      </c>
      <c r="X39" s="61">
        <f t="shared" si="12"/>
        <v>26.844387500000003</v>
      </c>
      <c r="Y39" s="61">
        <f t="shared" si="12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Antenaises+vides</v>
      </c>
      <c r="B40" s="61">
        <f t="shared" ref="B40:Q48" si="13">B16*B28</f>
        <v>8.7996125000000003</v>
      </c>
      <c r="C40" s="61">
        <f t="shared" si="13"/>
        <v>8.7996125000000003</v>
      </c>
      <c r="D40" s="61">
        <f t="shared" si="13"/>
        <v>8.7996125000000003</v>
      </c>
      <c r="E40" s="61">
        <f t="shared" si="13"/>
        <v>8.7996125000000003</v>
      </c>
      <c r="F40" s="61">
        <f t="shared" si="13"/>
        <v>8.7996125000000003</v>
      </c>
      <c r="G40" s="61">
        <f t="shared" si="13"/>
        <v>8.7996125000000003</v>
      </c>
      <c r="H40" s="61">
        <f t="shared" si="13"/>
        <v>8.7996125000000003</v>
      </c>
      <c r="I40" s="61">
        <f t="shared" si="13"/>
        <v>8.7996125000000003</v>
      </c>
      <c r="J40" s="61">
        <f t="shared" si="13"/>
        <v>8.7996125000000003</v>
      </c>
      <c r="K40" s="61">
        <f t="shared" si="13"/>
        <v>8.7996125000000003</v>
      </c>
      <c r="L40" s="61">
        <f t="shared" si="13"/>
        <v>8.7996125000000003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7.1288000000000009</v>
      </c>
      <c r="T40" s="61">
        <f t="shared" si="12"/>
        <v>7.1288000000000009</v>
      </c>
      <c r="U40" s="61">
        <f t="shared" si="12"/>
        <v>7.1288000000000009</v>
      </c>
      <c r="V40" s="61">
        <f t="shared" si="12"/>
        <v>8.7996125000000003</v>
      </c>
      <c r="W40" s="61">
        <f t="shared" si="12"/>
        <v>8.7996125000000003</v>
      </c>
      <c r="X40" s="61">
        <f t="shared" si="12"/>
        <v>8.7996125000000003</v>
      </c>
      <c r="Y40" s="61">
        <f t="shared" si="12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1.4472</v>
      </c>
      <c r="C41" s="61">
        <f t="shared" si="12"/>
        <v>1.4472</v>
      </c>
      <c r="D41" s="61">
        <f t="shared" si="12"/>
        <v>1.4472</v>
      </c>
      <c r="E41" s="61">
        <f t="shared" si="12"/>
        <v>1.4472</v>
      </c>
      <c r="F41" s="61">
        <f t="shared" si="12"/>
        <v>1.4472</v>
      </c>
      <c r="G41" s="61">
        <f t="shared" si="12"/>
        <v>1.4472</v>
      </c>
      <c r="H41" s="61">
        <f t="shared" si="12"/>
        <v>1.4472</v>
      </c>
      <c r="I41" s="61">
        <f t="shared" si="12"/>
        <v>1.4472</v>
      </c>
      <c r="J41" s="61">
        <f t="shared" si="12"/>
        <v>1.4472</v>
      </c>
      <c r="K41" s="61">
        <f t="shared" si="12"/>
        <v>1.4472</v>
      </c>
      <c r="L41" s="61">
        <f t="shared" si="12"/>
        <v>1.4472</v>
      </c>
      <c r="M41" s="61">
        <f t="shared" si="12"/>
        <v>1.4472</v>
      </c>
      <c r="N41" s="61">
        <f t="shared" si="12"/>
        <v>1.4472</v>
      </c>
      <c r="O41" s="61">
        <f t="shared" si="12"/>
        <v>1.4472</v>
      </c>
      <c r="P41" s="61">
        <f t="shared" si="12"/>
        <v>1.4472</v>
      </c>
      <c r="Q41" s="61">
        <f t="shared" si="12"/>
        <v>1.4472</v>
      </c>
      <c r="R41" s="61">
        <f t="shared" si="12"/>
        <v>1.4472</v>
      </c>
      <c r="S41" s="61">
        <f t="shared" si="12"/>
        <v>1.4472</v>
      </c>
      <c r="T41" s="61">
        <f t="shared" si="12"/>
        <v>1.4472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1.4472</v>
      </c>
      <c r="Y41" s="61">
        <f t="shared" si="12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Béliers</v>
      </c>
      <c r="B42" s="61">
        <f t="shared" si="13"/>
        <v>0.70350000000000013</v>
      </c>
      <c r="C42" s="61">
        <f t="shared" si="12"/>
        <v>0.70350000000000013</v>
      </c>
      <c r="D42" s="61">
        <f t="shared" si="12"/>
        <v>0.70350000000000013</v>
      </c>
      <c r="E42" s="61">
        <f t="shared" si="12"/>
        <v>0.70350000000000013</v>
      </c>
      <c r="F42" s="61">
        <f t="shared" si="12"/>
        <v>0.70350000000000013</v>
      </c>
      <c r="G42" s="61">
        <f t="shared" si="12"/>
        <v>0.70350000000000013</v>
      </c>
      <c r="H42" s="61">
        <f t="shared" si="12"/>
        <v>0.70350000000000013</v>
      </c>
      <c r="I42" s="61">
        <f t="shared" si="12"/>
        <v>0.70350000000000013</v>
      </c>
      <c r="J42" s="61">
        <f t="shared" si="12"/>
        <v>0.70350000000000013</v>
      </c>
      <c r="K42" s="61">
        <f t="shared" si="12"/>
        <v>0.70350000000000013</v>
      </c>
      <c r="L42" s="61">
        <f t="shared" si="12"/>
        <v>0.70350000000000013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0.70000000000000007</v>
      </c>
      <c r="T42" s="61">
        <f t="shared" si="12"/>
        <v>0.70000000000000007</v>
      </c>
      <c r="U42" s="61">
        <f t="shared" si="12"/>
        <v>0.70350000000000013</v>
      </c>
      <c r="V42" s="61">
        <f t="shared" si="12"/>
        <v>0.70350000000000013</v>
      </c>
      <c r="W42" s="61">
        <f t="shared" si="12"/>
        <v>0.70350000000000013</v>
      </c>
      <c r="X42" s="61">
        <f t="shared" si="12"/>
        <v>0.70350000000000013</v>
      </c>
      <c r="Y42" s="61">
        <f t="shared" si="12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4">SUM(C39:C48)</f>
        <v>37.571925</v>
      </c>
      <c r="D49" s="62">
        <f t="shared" si="14"/>
        <v>37.349150000000002</v>
      </c>
      <c r="E49" s="62">
        <f t="shared" si="14"/>
        <v>37.126375000000003</v>
      </c>
      <c r="F49" s="62">
        <f t="shared" si="14"/>
        <v>36.903599999999997</v>
      </c>
      <c r="G49" s="62">
        <f t="shared" si="14"/>
        <v>36.792212500000005</v>
      </c>
      <c r="H49" s="62">
        <f t="shared" si="14"/>
        <v>36.680825000000006</v>
      </c>
      <c r="I49" s="62">
        <f t="shared" si="14"/>
        <v>36.569437499999999</v>
      </c>
      <c r="J49" s="62">
        <f t="shared" si="14"/>
        <v>36.45805</v>
      </c>
      <c r="K49" s="62">
        <f t="shared" si="14"/>
        <v>36.346662500000001</v>
      </c>
      <c r="L49" s="62">
        <f t="shared" si="14"/>
        <v>36.235275000000001</v>
      </c>
      <c r="M49" s="62">
        <f t="shared" si="14"/>
        <v>32.436199999999999</v>
      </c>
      <c r="N49" s="62">
        <f t="shared" si="14"/>
        <v>32.436199999999999</v>
      </c>
      <c r="O49" s="62">
        <f t="shared" si="14"/>
        <v>32.436199999999999</v>
      </c>
      <c r="P49" s="62">
        <f t="shared" si="14"/>
        <v>32.436199999999999</v>
      </c>
      <c r="Q49" s="62">
        <f t="shared" si="14"/>
        <v>32.436199999999999</v>
      </c>
      <c r="R49" s="62">
        <f t="shared" si="14"/>
        <v>32.436199999999999</v>
      </c>
      <c r="S49" s="62">
        <f t="shared" si="14"/>
        <v>32.890150000000006</v>
      </c>
      <c r="T49" s="62">
        <f t="shared" si="14"/>
        <v>32.890150000000006</v>
      </c>
      <c r="U49" s="62">
        <f t="shared" si="14"/>
        <v>36.347500000000004</v>
      </c>
      <c r="V49" s="62">
        <f t="shared" si="14"/>
        <v>36.347500000000004</v>
      </c>
      <c r="W49" s="62">
        <f t="shared" si="14"/>
        <v>36.347500000000004</v>
      </c>
      <c r="X49" s="62">
        <f t="shared" si="14"/>
        <v>37.794700000000006</v>
      </c>
      <c r="Y49" s="62">
        <f t="shared" si="14"/>
        <v>37.794700000000006</v>
      </c>
      <c r="Z49" s="23"/>
      <c r="AA49" s="46">
        <f>AVERAGE(B49:Y49)</f>
        <v>35.452400520833329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Antenaises+vides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15.9</v>
      </c>
      <c r="AL54" s="84">
        <f t="shared" si="17"/>
        <v>7.1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7.1</v>
      </c>
      <c r="AV54" s="84">
        <f t="shared" si="17"/>
        <v>0</v>
      </c>
      <c r="AW54" s="84">
        <f t="shared" si="17"/>
        <v>5.0999999999999996</v>
      </c>
      <c r="AX54" s="84">
        <f t="shared" si="17"/>
        <v>5.3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58.220999999999997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8">B39*B52*B$3</f>
        <v>416.08800625000003</v>
      </c>
      <c r="C63" s="61">
        <f t="shared" si="18"/>
        <v>412.63499375000004</v>
      </c>
      <c r="D63" s="61">
        <f t="shared" si="18"/>
        <v>369.58372500000002</v>
      </c>
      <c r="E63" s="61">
        <f t="shared" si="18"/>
        <v>366.46487500000001</v>
      </c>
      <c r="F63" s="61">
        <f t="shared" si="18"/>
        <v>402.27595624999998</v>
      </c>
      <c r="G63" s="61">
        <f t="shared" si="18"/>
        <v>400.54945000000004</v>
      </c>
      <c r="H63" s="61">
        <f t="shared" si="18"/>
        <v>385.95768750000002</v>
      </c>
      <c r="I63" s="61">
        <f t="shared" si="18"/>
        <v>384.28687500000001</v>
      </c>
      <c r="J63" s="61">
        <f t="shared" si="18"/>
        <v>395.36993125000004</v>
      </c>
      <c r="K63" s="61">
        <f t="shared" si="18"/>
        <v>393.64342499999998</v>
      </c>
      <c r="L63" s="61">
        <f t="shared" si="18"/>
        <v>379.27443750000003</v>
      </c>
      <c r="M63" s="61">
        <f t="shared" si="18"/>
        <v>464.83500000000004</v>
      </c>
      <c r="N63" s="61">
        <f t="shared" si="18"/>
        <v>480.3295</v>
      </c>
      <c r="O63" s="61">
        <f t="shared" si="18"/>
        <v>480.3295</v>
      </c>
      <c r="P63" s="61">
        <f t="shared" si="18"/>
        <v>480.3295</v>
      </c>
      <c r="Q63" s="61">
        <f t="shared" si="18"/>
        <v>480.3295</v>
      </c>
      <c r="R63" s="61">
        <f t="shared" si="18"/>
        <v>464.83500000000004</v>
      </c>
      <c r="S63" s="61">
        <f t="shared" si="18"/>
        <v>354.21225000000004</v>
      </c>
      <c r="T63" s="61">
        <f t="shared" si="18"/>
        <v>366.01932500000004</v>
      </c>
      <c r="U63" s="61">
        <f t="shared" si="18"/>
        <v>441.98560000000003</v>
      </c>
      <c r="V63" s="61">
        <f t="shared" si="18"/>
        <v>402.66581250000007</v>
      </c>
      <c r="W63" s="61">
        <f t="shared" si="18"/>
        <v>402.66581250000007</v>
      </c>
      <c r="X63" s="61">
        <f t="shared" si="18"/>
        <v>416.08800625000003</v>
      </c>
      <c r="Y63" s="61">
        <f t="shared" si="18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9">B40*B53*B$3</f>
        <v>136.39399374999999</v>
      </c>
      <c r="C64" s="61">
        <f t="shared" si="19"/>
        <v>136.39399374999999</v>
      </c>
      <c r="D64" s="61">
        <f t="shared" si="19"/>
        <v>123.194575</v>
      </c>
      <c r="E64" s="61">
        <f t="shared" si="19"/>
        <v>123.194575</v>
      </c>
      <c r="F64" s="61">
        <f t="shared" si="19"/>
        <v>136.39399374999999</v>
      </c>
      <c r="G64" s="61">
        <f t="shared" si="19"/>
        <v>136.39399374999999</v>
      </c>
      <c r="H64" s="61">
        <f t="shared" si="19"/>
        <v>131.99418750000001</v>
      </c>
      <c r="I64" s="61">
        <f t="shared" si="19"/>
        <v>131.99418750000001</v>
      </c>
      <c r="J64" s="61">
        <f t="shared" si="19"/>
        <v>136.39399374999999</v>
      </c>
      <c r="K64" s="61">
        <f t="shared" si="19"/>
        <v>136.39399374999999</v>
      </c>
      <c r="L64" s="61">
        <f t="shared" si="19"/>
        <v>131.99418750000001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106.93200000000002</v>
      </c>
      <c r="T64" s="61">
        <f t="shared" si="19"/>
        <v>110.49640000000001</v>
      </c>
      <c r="U64" s="61">
        <f t="shared" si="19"/>
        <v>110.49640000000001</v>
      </c>
      <c r="V64" s="61">
        <f t="shared" si="19"/>
        <v>131.99418750000001</v>
      </c>
      <c r="W64" s="61">
        <f t="shared" si="19"/>
        <v>131.99418750000001</v>
      </c>
      <c r="X64" s="61">
        <f t="shared" si="19"/>
        <v>136.39399374999999</v>
      </c>
      <c r="Y64" s="61">
        <f t="shared" si="19"/>
        <v>136.39399374999999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22.4316</v>
      </c>
      <c r="C65" s="61">
        <f t="shared" si="20"/>
        <v>22.4316</v>
      </c>
      <c r="D65" s="61">
        <f t="shared" si="20"/>
        <v>20.2608</v>
      </c>
      <c r="E65" s="61">
        <f t="shared" si="20"/>
        <v>20.2608</v>
      </c>
      <c r="F65" s="61">
        <f t="shared" si="20"/>
        <v>22.4316</v>
      </c>
      <c r="G65" s="61">
        <f t="shared" si="20"/>
        <v>22.4316</v>
      </c>
      <c r="H65" s="61">
        <f t="shared" si="20"/>
        <v>21.708000000000002</v>
      </c>
      <c r="I65" s="61">
        <f t="shared" si="20"/>
        <v>21.708000000000002</v>
      </c>
      <c r="J65" s="61">
        <f t="shared" si="20"/>
        <v>22.4316</v>
      </c>
      <c r="K65" s="61">
        <f t="shared" si="20"/>
        <v>22.4316</v>
      </c>
      <c r="L65" s="61">
        <f t="shared" si="20"/>
        <v>21.708000000000002</v>
      </c>
      <c r="M65" s="61">
        <f t="shared" si="20"/>
        <v>21.708000000000002</v>
      </c>
      <c r="N65" s="61">
        <f t="shared" si="20"/>
        <v>22.4316</v>
      </c>
      <c r="O65" s="61">
        <f t="shared" si="20"/>
        <v>22.4316</v>
      </c>
      <c r="P65" s="61">
        <f t="shared" si="20"/>
        <v>22.4316</v>
      </c>
      <c r="Q65" s="61">
        <f t="shared" si="20"/>
        <v>22.4316</v>
      </c>
      <c r="R65" s="61">
        <f t="shared" si="20"/>
        <v>21.708000000000002</v>
      </c>
      <c r="S65" s="61">
        <f t="shared" si="20"/>
        <v>21.708000000000002</v>
      </c>
      <c r="T65" s="61">
        <f t="shared" si="20"/>
        <v>22.4316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22.4316</v>
      </c>
      <c r="Y65" s="61">
        <f t="shared" si="20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1">B42*B55*B$3</f>
        <v>10.904250000000001</v>
      </c>
      <c r="C66" s="61">
        <f t="shared" si="21"/>
        <v>10.904250000000001</v>
      </c>
      <c r="D66" s="61">
        <f t="shared" si="21"/>
        <v>9.849000000000002</v>
      </c>
      <c r="E66" s="61">
        <f t="shared" si="21"/>
        <v>9.849000000000002</v>
      </c>
      <c r="F66" s="61">
        <f t="shared" si="21"/>
        <v>10.904250000000001</v>
      </c>
      <c r="G66" s="61">
        <f t="shared" si="21"/>
        <v>10.904250000000001</v>
      </c>
      <c r="H66" s="61">
        <f t="shared" si="21"/>
        <v>10.552500000000002</v>
      </c>
      <c r="I66" s="61">
        <f t="shared" si="21"/>
        <v>10.552500000000002</v>
      </c>
      <c r="J66" s="61">
        <f t="shared" si="21"/>
        <v>10.904250000000001</v>
      </c>
      <c r="K66" s="61">
        <f t="shared" si="21"/>
        <v>10.904250000000001</v>
      </c>
      <c r="L66" s="61">
        <f t="shared" si="21"/>
        <v>10.552500000000002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10.500000000000002</v>
      </c>
      <c r="T66" s="61">
        <f t="shared" si="21"/>
        <v>10.850000000000001</v>
      </c>
      <c r="U66" s="61">
        <f t="shared" si="21"/>
        <v>10.904250000000001</v>
      </c>
      <c r="V66" s="61">
        <f t="shared" si="21"/>
        <v>10.552500000000002</v>
      </c>
      <c r="W66" s="61">
        <f t="shared" si="21"/>
        <v>10.552500000000002</v>
      </c>
      <c r="X66" s="61">
        <f t="shared" si="21"/>
        <v>10.904250000000001</v>
      </c>
      <c r="Y66" s="61">
        <f t="shared" si="21"/>
        <v>10.904250000000001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586</v>
      </c>
      <c r="C73" s="64">
        <f t="shared" ref="C73:Y73" si="28">ROUND(SUM(C63:C72),0)</f>
        <v>582</v>
      </c>
      <c r="D73" s="64">
        <f t="shared" si="28"/>
        <v>523</v>
      </c>
      <c r="E73" s="64">
        <f t="shared" si="28"/>
        <v>520</v>
      </c>
      <c r="F73" s="64">
        <f t="shared" si="28"/>
        <v>572</v>
      </c>
      <c r="G73" s="64">
        <f t="shared" si="28"/>
        <v>570</v>
      </c>
      <c r="H73" s="64">
        <f t="shared" si="28"/>
        <v>550</v>
      </c>
      <c r="I73" s="64">
        <f t="shared" si="28"/>
        <v>549</v>
      </c>
      <c r="J73" s="64">
        <f t="shared" si="28"/>
        <v>565</v>
      </c>
      <c r="K73" s="64">
        <f t="shared" si="28"/>
        <v>563</v>
      </c>
      <c r="L73" s="64">
        <f t="shared" si="28"/>
        <v>544</v>
      </c>
      <c r="M73" s="64">
        <f t="shared" si="28"/>
        <v>487</v>
      </c>
      <c r="N73" s="64">
        <f t="shared" si="28"/>
        <v>503</v>
      </c>
      <c r="O73" s="64">
        <f t="shared" si="28"/>
        <v>503</v>
      </c>
      <c r="P73" s="64">
        <f t="shared" si="28"/>
        <v>503</v>
      </c>
      <c r="Q73" s="64">
        <f t="shared" si="28"/>
        <v>503</v>
      </c>
      <c r="R73" s="64">
        <f t="shared" si="28"/>
        <v>487</v>
      </c>
      <c r="S73" s="64">
        <f t="shared" si="28"/>
        <v>493</v>
      </c>
      <c r="T73" s="64">
        <f t="shared" si="28"/>
        <v>510</v>
      </c>
      <c r="U73" s="64">
        <f t="shared" si="28"/>
        <v>563</v>
      </c>
      <c r="V73" s="64">
        <f t="shared" si="28"/>
        <v>545</v>
      </c>
      <c r="W73" s="64">
        <f t="shared" si="28"/>
        <v>545</v>
      </c>
      <c r="X73" s="64">
        <f t="shared" si="28"/>
        <v>586</v>
      </c>
      <c r="Y73" s="64">
        <f t="shared" si="28"/>
        <v>586</v>
      </c>
      <c r="Z73" s="52"/>
      <c r="AA73" s="56">
        <f>ROUND(SUM(B73:Y73),0)</f>
        <v>12938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/>
      <c r="N77" s="60"/>
      <c r="O77" s="60"/>
      <c r="P77" s="60"/>
      <c r="Q77" s="60"/>
      <c r="R77" s="60"/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>
        <v>1</v>
      </c>
      <c r="Y77" s="60">
        <v>1</v>
      </c>
      <c r="AB77" t="s">
        <v>439</v>
      </c>
      <c r="AC77">
        <f>COUNTIF($B$76:$Y$85,"&gt;0")/2</f>
        <v>17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17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10.07</v>
      </c>
      <c r="J99" s="61">
        <f t="shared" si="30"/>
        <v>10.07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Béliers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13</v>
      </c>
      <c r="C103" s="61">
        <f t="shared" si="34"/>
        <v>13</v>
      </c>
      <c r="D103" s="61">
        <f t="shared" si="34"/>
        <v>13</v>
      </c>
      <c r="E103" s="61">
        <f t="shared" si="34"/>
        <v>13</v>
      </c>
      <c r="F103" s="61">
        <f t="shared" si="34"/>
        <v>13</v>
      </c>
      <c r="G103" s="61">
        <f t="shared" si="34"/>
        <v>13</v>
      </c>
      <c r="H103" s="61">
        <f t="shared" si="34"/>
        <v>13</v>
      </c>
      <c r="I103" s="61">
        <f t="shared" si="34"/>
        <v>13</v>
      </c>
      <c r="J103" s="61">
        <f t="shared" si="34"/>
        <v>13</v>
      </c>
      <c r="K103" s="61">
        <f t="shared" si="34"/>
        <v>13</v>
      </c>
      <c r="L103" s="61">
        <f t="shared" si="34"/>
        <v>13</v>
      </c>
      <c r="M103" s="61">
        <f t="shared" si="34"/>
        <v>13</v>
      </c>
      <c r="N103" s="61">
        <f t="shared" si="34"/>
        <v>13</v>
      </c>
      <c r="O103" s="61">
        <f t="shared" si="34"/>
        <v>13</v>
      </c>
      <c r="P103" s="61">
        <f t="shared" si="34"/>
        <v>13</v>
      </c>
      <c r="Q103" s="61">
        <f t="shared" si="34"/>
        <v>13</v>
      </c>
      <c r="R103" s="61">
        <f t="shared" si="34"/>
        <v>13</v>
      </c>
      <c r="S103" s="61">
        <f t="shared" si="34"/>
        <v>13</v>
      </c>
      <c r="T103" s="61">
        <f t="shared" si="34"/>
        <v>13</v>
      </c>
      <c r="U103" s="61">
        <f t="shared" si="34"/>
        <v>13</v>
      </c>
      <c r="V103" s="61">
        <f t="shared" si="34"/>
        <v>13</v>
      </c>
      <c r="W103" s="61">
        <f t="shared" si="34"/>
        <v>13</v>
      </c>
      <c r="X103" s="61">
        <f t="shared" si="34"/>
        <v>13</v>
      </c>
      <c r="Y103" s="61">
        <f t="shared" si="34"/>
        <v>13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40">(B39*B$3*B99)/1000</f>
        <v>6.7364648211875009</v>
      </c>
      <c r="C110" s="61">
        <f t="shared" si="40"/>
        <v>6.6805605488125011</v>
      </c>
      <c r="D110" s="61">
        <f t="shared" si="40"/>
        <v>5.98356050775</v>
      </c>
      <c r="E110" s="61">
        <f t="shared" si="40"/>
        <v>5.9330663262500005</v>
      </c>
      <c r="F110" s="61">
        <f t="shared" si="40"/>
        <v>6.5128477316875006</v>
      </c>
      <c r="G110" s="61">
        <f t="shared" si="40"/>
        <v>6.4848955955000012</v>
      </c>
      <c r="H110" s="61">
        <f t="shared" si="40"/>
        <v>6.248654960625001</v>
      </c>
      <c r="I110" s="61">
        <f t="shared" si="40"/>
        <v>3.8697688312500005</v>
      </c>
      <c r="J110" s="61">
        <f t="shared" si="40"/>
        <v>3.9813752076875004</v>
      </c>
      <c r="K110" s="61">
        <f t="shared" si="40"/>
        <v>3.9639892897499998</v>
      </c>
      <c r="L110" s="61">
        <f t="shared" si="40"/>
        <v>3.8192935856250005</v>
      </c>
      <c r="M110" s="61">
        <f t="shared" si="40"/>
        <v>4.6808884500000003</v>
      </c>
      <c r="N110" s="61">
        <f t="shared" si="40"/>
        <v>4.8369180649999999</v>
      </c>
      <c r="O110" s="61">
        <f t="shared" si="40"/>
        <v>4.8369180649999999</v>
      </c>
      <c r="P110" s="61">
        <f t="shared" si="40"/>
        <v>4.8369180649999999</v>
      </c>
      <c r="Q110" s="61">
        <f t="shared" si="40"/>
        <v>4.8369180649999999</v>
      </c>
      <c r="R110" s="61">
        <f t="shared" si="40"/>
        <v>4.6808884500000003</v>
      </c>
      <c r="S110" s="61">
        <f t="shared" si="40"/>
        <v>3.5669173575000004</v>
      </c>
      <c r="T110" s="61">
        <f t="shared" si="40"/>
        <v>2.8952128607500005</v>
      </c>
      <c r="U110" s="61">
        <f t="shared" si="40"/>
        <v>6.3203940800000007</v>
      </c>
      <c r="V110" s="61">
        <f t="shared" si="40"/>
        <v>5.758121118750001</v>
      </c>
      <c r="W110" s="61">
        <f t="shared" si="40"/>
        <v>6.5191595043750015</v>
      </c>
      <c r="X110" s="61">
        <f t="shared" si="40"/>
        <v>6.7364648211875009</v>
      </c>
      <c r="Y110" s="61">
        <f t="shared" si="40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1">(B40*B$3*B100)/1000</f>
        <v>1.7731219187499998</v>
      </c>
      <c r="C111" s="61">
        <f t="shared" si="41"/>
        <v>1.7731219187499998</v>
      </c>
      <c r="D111" s="61">
        <f t="shared" si="41"/>
        <v>1.601529475</v>
      </c>
      <c r="E111" s="61">
        <f t="shared" si="41"/>
        <v>1.601529475</v>
      </c>
      <c r="F111" s="61">
        <f t="shared" si="41"/>
        <v>1.7731219187499998</v>
      </c>
      <c r="G111" s="61">
        <f t="shared" si="41"/>
        <v>1.7731219187499998</v>
      </c>
      <c r="H111" s="61">
        <f t="shared" si="41"/>
        <v>1.7159244375</v>
      </c>
      <c r="I111" s="61">
        <f t="shared" si="41"/>
        <v>1.7159244375</v>
      </c>
      <c r="J111" s="61">
        <f t="shared" si="41"/>
        <v>1.7731219187499998</v>
      </c>
      <c r="K111" s="61">
        <f t="shared" si="41"/>
        <v>1.7731219187499998</v>
      </c>
      <c r="L111" s="61">
        <f t="shared" si="41"/>
        <v>1.7159244375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1.3901160000000001</v>
      </c>
      <c r="T111" s="61">
        <f t="shared" si="41"/>
        <v>1.4364532000000001</v>
      </c>
      <c r="U111" s="61">
        <f t="shared" si="41"/>
        <v>1.4364532000000001</v>
      </c>
      <c r="V111" s="61">
        <f t="shared" si="41"/>
        <v>1.7159244375</v>
      </c>
      <c r="W111" s="61">
        <f t="shared" si="41"/>
        <v>1.7159244375</v>
      </c>
      <c r="X111" s="61">
        <f t="shared" si="41"/>
        <v>1.7731219187499998</v>
      </c>
      <c r="Y111" s="61">
        <f t="shared" si="41"/>
        <v>1.7731219187499998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0.2916108</v>
      </c>
      <c r="C112" s="61">
        <f t="shared" si="42"/>
        <v>0.2916108</v>
      </c>
      <c r="D112" s="61">
        <f t="shared" si="42"/>
        <v>0.26339040000000002</v>
      </c>
      <c r="E112" s="61">
        <f t="shared" si="42"/>
        <v>0.26339040000000002</v>
      </c>
      <c r="F112" s="61">
        <f t="shared" si="42"/>
        <v>0.2916108</v>
      </c>
      <c r="G112" s="61">
        <f t="shared" si="42"/>
        <v>0.2916108</v>
      </c>
      <c r="H112" s="61">
        <f t="shared" si="42"/>
        <v>0.28220400000000001</v>
      </c>
      <c r="I112" s="61">
        <f t="shared" si="42"/>
        <v>0.28220400000000001</v>
      </c>
      <c r="J112" s="61">
        <f t="shared" si="42"/>
        <v>0.2916108</v>
      </c>
      <c r="K112" s="61">
        <f t="shared" si="42"/>
        <v>0.2916108</v>
      </c>
      <c r="L112" s="61">
        <f t="shared" si="42"/>
        <v>0.28220400000000001</v>
      </c>
      <c r="M112" s="61">
        <f t="shared" si="42"/>
        <v>0.28220400000000001</v>
      </c>
      <c r="N112" s="61">
        <f t="shared" si="42"/>
        <v>0.2916108</v>
      </c>
      <c r="O112" s="61">
        <f t="shared" si="42"/>
        <v>0.2916108</v>
      </c>
      <c r="P112" s="61">
        <f t="shared" si="42"/>
        <v>0.2916108</v>
      </c>
      <c r="Q112" s="61">
        <f t="shared" si="42"/>
        <v>0.2916108</v>
      </c>
      <c r="R112" s="61">
        <f t="shared" si="42"/>
        <v>0.28220400000000001</v>
      </c>
      <c r="S112" s="61">
        <f t="shared" si="42"/>
        <v>0.28220400000000001</v>
      </c>
      <c r="T112" s="61">
        <f t="shared" si="42"/>
        <v>0.2916108</v>
      </c>
      <c r="U112" s="61">
        <f t="shared" si="42"/>
        <v>0</v>
      </c>
      <c r="V112" s="61">
        <f t="shared" si="42"/>
        <v>0</v>
      </c>
      <c r="W112" s="61">
        <f t="shared" si="42"/>
        <v>0</v>
      </c>
      <c r="X112" s="61">
        <f t="shared" si="42"/>
        <v>0.2916108</v>
      </c>
      <c r="Y112" s="61">
        <f t="shared" si="42"/>
        <v>0.2916108</v>
      </c>
    </row>
    <row r="113" spans="1:53" x14ac:dyDescent="0.25">
      <c r="A113" s="127" t="str">
        <f>A$18</f>
        <v>Béliers</v>
      </c>
      <c r="B113" s="61">
        <f t="shared" ref="B113:Y113" si="43">(B42*B$3*B102)/1000</f>
        <v>0.14175525000000003</v>
      </c>
      <c r="C113" s="61">
        <f t="shared" si="43"/>
        <v>0.14175525000000003</v>
      </c>
      <c r="D113" s="61">
        <f t="shared" si="43"/>
        <v>0.12803700000000004</v>
      </c>
      <c r="E113" s="61">
        <f t="shared" si="43"/>
        <v>0.12803700000000004</v>
      </c>
      <c r="F113" s="61">
        <f t="shared" si="43"/>
        <v>0.14175525000000003</v>
      </c>
      <c r="G113" s="61">
        <f t="shared" si="43"/>
        <v>0.14175525000000003</v>
      </c>
      <c r="H113" s="61">
        <f t="shared" si="43"/>
        <v>0.13718250000000004</v>
      </c>
      <c r="I113" s="61">
        <f t="shared" si="43"/>
        <v>0.13718250000000004</v>
      </c>
      <c r="J113" s="61">
        <f t="shared" si="43"/>
        <v>0.14175525000000003</v>
      </c>
      <c r="K113" s="61">
        <f t="shared" si="43"/>
        <v>0.14175525000000003</v>
      </c>
      <c r="L113" s="61">
        <f t="shared" si="43"/>
        <v>0.13718250000000004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0.13650000000000004</v>
      </c>
      <c r="T113" s="61">
        <f t="shared" si="43"/>
        <v>0.14105000000000001</v>
      </c>
      <c r="U113" s="61">
        <f t="shared" si="43"/>
        <v>0.14175525000000003</v>
      </c>
      <c r="V113" s="61">
        <f t="shared" si="43"/>
        <v>0.13718250000000004</v>
      </c>
      <c r="W113" s="61">
        <f t="shared" si="43"/>
        <v>0.13718250000000004</v>
      </c>
      <c r="X113" s="61">
        <f t="shared" si="43"/>
        <v>0.14175525000000003</v>
      </c>
      <c r="Y113" s="61">
        <f t="shared" si="43"/>
        <v>0.14175525000000003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50">SUM(C110:C119)</f>
        <v>8.8870485175625014</v>
      </c>
      <c r="D120" s="61">
        <f t="shared" si="50"/>
        <v>7.9765173827500009</v>
      </c>
      <c r="E120" s="61">
        <f t="shared" si="50"/>
        <v>7.9260232012500014</v>
      </c>
      <c r="F120" s="61">
        <f t="shared" si="50"/>
        <v>8.7193357004375009</v>
      </c>
      <c r="G120" s="61">
        <f t="shared" si="50"/>
        <v>8.6913835642500015</v>
      </c>
      <c r="H120" s="61">
        <f t="shared" si="50"/>
        <v>8.383965898125</v>
      </c>
      <c r="I120" s="61">
        <f t="shared" si="50"/>
        <v>6.0050797687500008</v>
      </c>
      <c r="J120" s="61">
        <f t="shared" si="50"/>
        <v>6.1878631764375003</v>
      </c>
      <c r="K120" s="61">
        <f t="shared" si="50"/>
        <v>6.1704772585000001</v>
      </c>
      <c r="L120" s="61">
        <f t="shared" si="50"/>
        <v>5.9546045231250009</v>
      </c>
      <c r="M120" s="61">
        <f t="shared" si="50"/>
        <v>4.9630924500000004</v>
      </c>
      <c r="N120" s="61">
        <f t="shared" si="50"/>
        <v>5.1285288649999998</v>
      </c>
      <c r="O120" s="61">
        <f t="shared" si="50"/>
        <v>5.1285288649999998</v>
      </c>
      <c r="P120" s="61">
        <f t="shared" si="50"/>
        <v>5.1285288649999998</v>
      </c>
      <c r="Q120" s="61">
        <f t="shared" si="50"/>
        <v>5.1285288649999998</v>
      </c>
      <c r="R120" s="61">
        <f t="shared" si="50"/>
        <v>4.9630924500000004</v>
      </c>
      <c r="S120" s="61">
        <f t="shared" si="50"/>
        <v>5.3757373575000003</v>
      </c>
      <c r="T120" s="61">
        <f t="shared" si="50"/>
        <v>4.7643268607500007</v>
      </c>
      <c r="U120" s="61">
        <f t="shared" si="50"/>
        <v>7.8986025300000007</v>
      </c>
      <c r="V120" s="61">
        <f t="shared" si="50"/>
        <v>7.6112280562500008</v>
      </c>
      <c r="W120" s="61">
        <f t="shared" si="50"/>
        <v>8.3722664418750004</v>
      </c>
      <c r="X120" s="61">
        <f t="shared" si="50"/>
        <v>8.9429527899375003</v>
      </c>
      <c r="Y120" s="61">
        <f t="shared" si="50"/>
        <v>8.9429527899375003</v>
      </c>
      <c r="AA120" s="57">
        <f>SUM(B120:Y120)</f>
        <v>166.25066617743749</v>
      </c>
      <c r="AB120" t="s">
        <v>38</v>
      </c>
      <c r="AC120" t="s">
        <v>208</v>
      </c>
    </row>
    <row r="121" spans="1:53" x14ac:dyDescent="0.25">
      <c r="AA121">
        <f>AA49*4.75</f>
        <v>168.39890247395832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/>
      <c r="C123" s="60"/>
      <c r="D123" s="1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60"/>
      <c r="V123" s="160"/>
      <c r="W123" s="60"/>
      <c r="X123" s="60"/>
      <c r="Y123" s="60"/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1">C110*(1-C123)</f>
        <v>6.6805605488125011</v>
      </c>
      <c r="D136" s="61">
        <f t="shared" si="51"/>
        <v>5.98356050775</v>
      </c>
      <c r="E136" s="61">
        <f t="shared" si="51"/>
        <v>5.9330663262500005</v>
      </c>
      <c r="F136" s="61">
        <f t="shared" si="51"/>
        <v>6.5128477316875006</v>
      </c>
      <c r="G136" s="61">
        <f t="shared" si="51"/>
        <v>6.4848955955000012</v>
      </c>
      <c r="H136" s="61">
        <f t="shared" si="51"/>
        <v>6.248654960625001</v>
      </c>
      <c r="I136" s="61">
        <f t="shared" si="51"/>
        <v>3.8697688312500005</v>
      </c>
      <c r="J136" s="61">
        <f t="shared" si="51"/>
        <v>3.9813752076875004</v>
      </c>
      <c r="K136" s="61">
        <f t="shared" si="51"/>
        <v>3.9639892897499998</v>
      </c>
      <c r="L136" s="61">
        <f t="shared" si="51"/>
        <v>3.8192935856250005</v>
      </c>
      <c r="M136" s="61">
        <f t="shared" si="51"/>
        <v>4.6808884500000003</v>
      </c>
      <c r="N136" s="61">
        <f t="shared" si="51"/>
        <v>4.8369180649999999</v>
      </c>
      <c r="O136" s="61">
        <f t="shared" si="51"/>
        <v>4.8369180649999999</v>
      </c>
      <c r="P136" s="61">
        <f t="shared" si="51"/>
        <v>4.8369180649999999</v>
      </c>
      <c r="Q136" s="61">
        <f t="shared" si="51"/>
        <v>4.8369180649999999</v>
      </c>
      <c r="R136" s="61">
        <f t="shared" si="51"/>
        <v>4.6808884500000003</v>
      </c>
      <c r="S136" s="61">
        <f t="shared" si="51"/>
        <v>3.5669173575000004</v>
      </c>
      <c r="T136" s="61">
        <f t="shared" si="51"/>
        <v>2.8952128607500005</v>
      </c>
      <c r="U136" s="61">
        <f t="shared" si="51"/>
        <v>6.3203940800000007</v>
      </c>
      <c r="V136" s="61">
        <f t="shared" si="51"/>
        <v>5.758121118750001</v>
      </c>
      <c r="W136" s="61">
        <f t="shared" si="51"/>
        <v>6.5191595043750015</v>
      </c>
      <c r="X136" s="61">
        <f t="shared" si="51"/>
        <v>6.7364648211875009</v>
      </c>
      <c r="Y136" s="61">
        <f t="shared" si="51"/>
        <v>6.7364648211875009</v>
      </c>
      <c r="AA136" s="61">
        <f>SUM(B136:Y136)</f>
        <v>127.45666112987503</v>
      </c>
    </row>
    <row r="137" spans="1:31" x14ac:dyDescent="0.25">
      <c r="A137" s="128" t="str">
        <f>A$16</f>
        <v>Antenaises+vides</v>
      </c>
      <c r="B137" s="61">
        <f t="shared" ref="B137:Y144" si="52">B111*(1-B124)</f>
        <v>1.7731219187499998</v>
      </c>
      <c r="C137" s="61">
        <f t="shared" si="52"/>
        <v>1.7731219187499998</v>
      </c>
      <c r="D137" s="61">
        <f t="shared" si="52"/>
        <v>1.601529475</v>
      </c>
      <c r="E137" s="61">
        <f t="shared" si="52"/>
        <v>1.601529475</v>
      </c>
      <c r="F137" s="61">
        <f t="shared" si="52"/>
        <v>1.7731219187499998</v>
      </c>
      <c r="G137" s="61">
        <f t="shared" si="52"/>
        <v>1.7731219187499998</v>
      </c>
      <c r="H137" s="61">
        <f t="shared" si="52"/>
        <v>1.7159244375</v>
      </c>
      <c r="I137" s="61">
        <f t="shared" si="52"/>
        <v>1.7159244375</v>
      </c>
      <c r="J137" s="61">
        <f t="shared" si="52"/>
        <v>1.7731219187499998</v>
      </c>
      <c r="K137" s="61">
        <f t="shared" si="52"/>
        <v>1.7731219187499998</v>
      </c>
      <c r="L137" s="61">
        <f t="shared" si="52"/>
        <v>1.7159244375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1.3901160000000001</v>
      </c>
      <c r="T137" s="61">
        <f t="shared" si="52"/>
        <v>1.4364532000000001</v>
      </c>
      <c r="U137" s="61">
        <f t="shared" si="52"/>
        <v>1.4364532000000001</v>
      </c>
      <c r="V137" s="61">
        <f t="shared" si="52"/>
        <v>1.7159244375</v>
      </c>
      <c r="W137" s="61">
        <f t="shared" si="52"/>
        <v>1.7159244375</v>
      </c>
      <c r="X137" s="61">
        <f t="shared" si="52"/>
        <v>1.7731219187499998</v>
      </c>
      <c r="Y137" s="61">
        <f t="shared" si="52"/>
        <v>1.7731219187499998</v>
      </c>
      <c r="AA137" s="61">
        <f>SUM(B137:Y137)</f>
        <v>30.230678887499998</v>
      </c>
    </row>
    <row r="138" spans="1:31" x14ac:dyDescent="0.25">
      <c r="A138" s="128" t="str">
        <f>A$17</f>
        <v>Agnelles</v>
      </c>
      <c r="B138" s="61">
        <f t="shared" si="52"/>
        <v>0.2916108</v>
      </c>
      <c r="C138" s="61">
        <f t="shared" si="52"/>
        <v>0.2916108</v>
      </c>
      <c r="D138" s="61">
        <f t="shared" si="52"/>
        <v>0.26339040000000002</v>
      </c>
      <c r="E138" s="61">
        <f t="shared" si="52"/>
        <v>0.26339040000000002</v>
      </c>
      <c r="F138" s="61">
        <f t="shared" si="52"/>
        <v>0.2916108</v>
      </c>
      <c r="G138" s="61">
        <f t="shared" si="52"/>
        <v>0.2916108</v>
      </c>
      <c r="H138" s="61">
        <f t="shared" si="52"/>
        <v>0.28220400000000001</v>
      </c>
      <c r="I138" s="61">
        <f t="shared" si="52"/>
        <v>0.28220400000000001</v>
      </c>
      <c r="J138" s="61">
        <f t="shared" si="52"/>
        <v>0.2916108</v>
      </c>
      <c r="K138" s="61">
        <f t="shared" si="52"/>
        <v>0.2916108</v>
      </c>
      <c r="L138" s="61">
        <f t="shared" si="52"/>
        <v>0.28220400000000001</v>
      </c>
      <c r="M138" s="61">
        <f t="shared" si="52"/>
        <v>0.28220400000000001</v>
      </c>
      <c r="N138" s="61">
        <f t="shared" si="52"/>
        <v>0.2916108</v>
      </c>
      <c r="O138" s="61">
        <f t="shared" si="52"/>
        <v>0.2916108</v>
      </c>
      <c r="P138" s="61">
        <f t="shared" si="52"/>
        <v>0.2916108</v>
      </c>
      <c r="Q138" s="61">
        <f t="shared" si="52"/>
        <v>0.2916108</v>
      </c>
      <c r="R138" s="61">
        <f t="shared" si="52"/>
        <v>0.28220400000000001</v>
      </c>
      <c r="S138" s="61">
        <f t="shared" si="52"/>
        <v>0.28220400000000001</v>
      </c>
      <c r="T138" s="61">
        <f t="shared" si="52"/>
        <v>0.2916108</v>
      </c>
      <c r="U138" s="61">
        <f t="shared" si="52"/>
        <v>0</v>
      </c>
      <c r="V138" s="61">
        <f t="shared" si="52"/>
        <v>0</v>
      </c>
      <c r="W138" s="61">
        <f t="shared" si="52"/>
        <v>0</v>
      </c>
      <c r="X138" s="61">
        <f t="shared" si="52"/>
        <v>0.2916108</v>
      </c>
      <c r="Y138" s="61">
        <f t="shared" si="52"/>
        <v>0.2916108</v>
      </c>
      <c r="AA138" s="61">
        <f t="shared" ref="AA138:AA144" si="53">SUM(B138:Y138)</f>
        <v>6.0109452000000001</v>
      </c>
    </row>
    <row r="139" spans="1:31" x14ac:dyDescent="0.25">
      <c r="A139" s="127" t="str">
        <f>A$18</f>
        <v>Béliers</v>
      </c>
      <c r="B139" s="61">
        <f t="shared" si="52"/>
        <v>0.14175525000000003</v>
      </c>
      <c r="C139" s="61">
        <f t="shared" si="52"/>
        <v>0.14175525000000003</v>
      </c>
      <c r="D139" s="61">
        <f t="shared" si="52"/>
        <v>0.12803700000000004</v>
      </c>
      <c r="E139" s="61">
        <f t="shared" si="52"/>
        <v>0.12803700000000004</v>
      </c>
      <c r="F139" s="61">
        <f t="shared" si="52"/>
        <v>0.14175525000000003</v>
      </c>
      <c r="G139" s="61">
        <f t="shared" si="52"/>
        <v>0.14175525000000003</v>
      </c>
      <c r="H139" s="61">
        <f t="shared" si="52"/>
        <v>0.13718250000000004</v>
      </c>
      <c r="I139" s="61">
        <f t="shared" si="52"/>
        <v>0.13718250000000004</v>
      </c>
      <c r="J139" s="61">
        <f t="shared" si="52"/>
        <v>0.14175525000000003</v>
      </c>
      <c r="K139" s="61">
        <f t="shared" si="52"/>
        <v>0.14175525000000003</v>
      </c>
      <c r="L139" s="61">
        <f t="shared" si="52"/>
        <v>0.13718250000000004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0.13650000000000004</v>
      </c>
      <c r="T139" s="61">
        <f t="shared" si="52"/>
        <v>0.14105000000000001</v>
      </c>
      <c r="U139" s="61">
        <f t="shared" si="52"/>
        <v>0.14175525000000003</v>
      </c>
      <c r="V139" s="61">
        <f t="shared" si="52"/>
        <v>0.13718250000000004</v>
      </c>
      <c r="W139" s="61">
        <f t="shared" si="52"/>
        <v>0.13718250000000004</v>
      </c>
      <c r="X139" s="61">
        <f t="shared" si="52"/>
        <v>0.14175525000000003</v>
      </c>
      <c r="Y139" s="61">
        <f t="shared" si="52"/>
        <v>0.14175525000000003</v>
      </c>
      <c r="AA139" s="61">
        <f t="shared" si="53"/>
        <v>2.4953337500000012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166.19361896737504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191.12266181248128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Antenaises+vides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Béliers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Antenaises+vides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Béliers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Antenaises+vides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Béliers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Antenaises+vides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Béliers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Antenaises+vides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Béliers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58.220999999999997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191.12266181248128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191.2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3" zoomScale="90" zoomScaleNormal="90" workbookViewId="0">
      <selection activeCell="E35" sqref="E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7" t="s">
        <v>252</v>
      </c>
      <c r="AT2" s="287"/>
      <c r="AU2" s="286" t="s">
        <v>253</v>
      </c>
      <c r="AV2" s="286"/>
      <c r="AW2" s="286" t="s">
        <v>254</v>
      </c>
      <c r="AX2" s="286"/>
      <c r="AY2" s="286" t="s">
        <v>255</v>
      </c>
      <c r="AZ2" s="286"/>
      <c r="BA2" s="286" t="s">
        <v>256</v>
      </c>
      <c r="BB2" s="286"/>
      <c r="BC2" s="286" t="s">
        <v>257</v>
      </c>
      <c r="BD2" s="286"/>
      <c r="BE2" s="286" t="s">
        <v>258</v>
      </c>
      <c r="BF2" s="286"/>
      <c r="BG2" s="286" t="s">
        <v>259</v>
      </c>
      <c r="BH2" s="286"/>
      <c r="BI2" s="286" t="s">
        <v>260</v>
      </c>
      <c r="BJ2" s="286"/>
      <c r="BK2" s="286" t="s">
        <v>261</v>
      </c>
      <c r="BL2" s="286"/>
      <c r="BM2" s="286" t="s">
        <v>262</v>
      </c>
      <c r="BN2" s="286"/>
      <c r="BO2" s="286" t="s">
        <v>263</v>
      </c>
      <c r="BP2" s="28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15</v>
      </c>
      <c r="R7" s="39">
        <v>1.1000000000000001</v>
      </c>
      <c r="S7" s="273" t="str">
        <f>VLOOKUP($Q7,[1]MEP!$A$5:$D$300,3)</f>
        <v xml:space="preserve">PP bonne 2 coupes </v>
      </c>
      <c r="T7" s="76" t="str">
        <f>VLOOKUP($Q7,[1]MEP!$A$5:$D$300,4)</f>
        <v>zone 1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5.2965000000000009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5.8261500000000011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58.220999999999997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294</v>
      </c>
      <c r="R8" s="39">
        <v>3.5</v>
      </c>
      <c r="S8" s="273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28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58.220999999999997</v>
      </c>
      <c r="G9" s="81"/>
      <c r="H9" s="61">
        <f>SUM(L34:L43)</f>
        <v>40.200000000000003</v>
      </c>
      <c r="I9" s="81"/>
      <c r="J9" s="81"/>
      <c r="K9" s="93">
        <f>H9-F9</f>
        <v>-18.020999999999994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15</v>
      </c>
      <c r="R10" s="39">
        <v>1.5</v>
      </c>
      <c r="S10" s="273" t="str">
        <f>VLOOKUP($Q10,[1]MEP!$A$5:$D$300,3)</f>
        <v xml:space="preserve">PP bonne 2 coupes </v>
      </c>
      <c r="T10" s="76" t="str">
        <f>VLOOKUP($Q10,[1]MEP!$A$5:$D$300,4)</f>
        <v>zone 1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5.2965000000000009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7.9447500000000009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294</v>
      </c>
      <c r="R11" s="39">
        <v>0.7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8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5.6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294</v>
      </c>
      <c r="R12" s="39">
        <v>1</v>
      </c>
      <c r="S12" s="76" t="str">
        <f>VLOOKUP($Q12,[1]MEP!$A$5:$D$300,3)</f>
        <v>PP EXCELLENTE 2 COUPES</v>
      </c>
      <c r="T12" s="76" t="str">
        <f>VLOOKUP($Q12,[1]MEP!$A$5:$D$300,4)</f>
        <v>zone 1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8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76.556899999999999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191.2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-114.64309999999999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55.370899999999999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15</v>
      </c>
      <c r="R29" s="39">
        <v>4</v>
      </c>
      <c r="S29" s="273" t="str">
        <f>VLOOKUP($Q29,[1]MEP!$A$5:$D$300,3)</f>
        <v xml:space="preserve">PP bonne 2 coupes </v>
      </c>
      <c r="T29" s="76" t="str">
        <f>VLOOKUP($Q29,[1]MEP!$A$5:$D$300,4)</f>
        <v>zone 1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5.2965000000000009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21.186000000000003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269</v>
      </c>
      <c r="E32" s="68" t="s">
        <v>18</v>
      </c>
      <c r="F32" s="286" t="s">
        <v>277</v>
      </c>
      <c r="G32" s="286"/>
      <c r="H32" s="82"/>
      <c r="I32" s="68" t="s">
        <v>281</v>
      </c>
      <c r="J32" s="82" t="s">
        <v>281</v>
      </c>
      <c r="K32" s="286" t="s">
        <v>279</v>
      </c>
      <c r="L32" s="286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13.4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40.200000000000003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21.186000000000003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47</v>
      </c>
      <c r="R51" s="39">
        <v>8.4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47</v>
      </c>
      <c r="R52" s="39">
        <v>5</v>
      </c>
      <c r="S52" s="76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76.556899999999999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191.2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-114.64309999999999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2</v>
      </c>
      <c r="C7" s="9">
        <v>0</v>
      </c>
      <c r="D7" s="9" t="s">
        <v>465</v>
      </c>
      <c r="E7" s="9" t="s">
        <v>1431</v>
      </c>
      <c r="F7" s="9">
        <v>15</v>
      </c>
      <c r="G7" s="9">
        <v>4</v>
      </c>
      <c r="H7" s="9">
        <v>3</v>
      </c>
      <c r="I7" s="9">
        <v>0.5</v>
      </c>
      <c r="J7" s="8">
        <f t="shared" si="1"/>
        <v>0</v>
      </c>
      <c r="K7" s="8">
        <f t="shared" si="2"/>
        <v>0</v>
      </c>
      <c r="L7" s="10">
        <f>IF(H7=$X$10,SQRT(K7*10000),SQRT(Parcellaire!K7*10000)/$AB$11)</f>
        <v>0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0</v>
      </c>
      <c r="T7" s="10">
        <f t="shared" si="7"/>
        <v>0</v>
      </c>
      <c r="U7" s="27">
        <f t="shared" si="8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2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0</v>
      </c>
      <c r="K10" s="8">
        <f t="shared" si="2"/>
        <v>0</v>
      </c>
      <c r="L10" s="10">
        <f>IF(H10=$X$10,SQRT(K10*10000),SQRT(Parcellaire!K10*10000)/$AB$11)</f>
        <v>0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0</v>
      </c>
      <c r="K11" s="8">
        <f t="shared" si="2"/>
        <v>0</v>
      </c>
      <c r="L11" s="10">
        <f>IF(H11=$X$10,SQRT(K11*10000),SQRT(Parcellaire!K11*10000)/$AB$11)</f>
        <v>0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27">
        <f t="shared" si="8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0</v>
      </c>
      <c r="K12" s="8">
        <f t="shared" si="2"/>
        <v>0</v>
      </c>
      <c r="L12" s="10">
        <f>IF(H12=$X$10,SQRT(K12*10000),SQRT(Parcellaire!K12*10000)/$AB$11)</f>
        <v>0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27">
        <f t="shared" si="8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0</v>
      </c>
      <c r="K14" s="8">
        <f t="shared" si="2"/>
        <v>0</v>
      </c>
      <c r="L14" s="10">
        <f>IF(H14=$X$10,SQRT(K14*10000),SQRT(Parcellaire!K14*10000)/$AB$11)</f>
        <v>0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0</v>
      </c>
      <c r="T14" s="10">
        <f t="shared" si="7"/>
        <v>0</v>
      </c>
      <c r="U14" s="27">
        <f t="shared" si="8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2713.1479581024546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240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240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2713.1479581024546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20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7.8</v>
      </c>
      <c r="H64" s="135">
        <f>SUMIF(Parcellaire!$B$2:$B$63,1,Parcellaire!H2:H63)</f>
        <v>24</v>
      </c>
      <c r="I64" s="135">
        <f>SUMIF(Parcellaire!$B$2:$B$63,1,Parcellaire!I2:I63)</f>
        <v>3.5</v>
      </c>
      <c r="J64" s="135">
        <f>SUMIF(Parcellaire!$B$2:$B$63,1,Parcellaire!J2:J63)</f>
        <v>8.4150000000000009</v>
      </c>
      <c r="K64" s="135">
        <f>SUMIF(Parcellaire!$B$2:$B$63,1,Parcellaire!K2:K63)</f>
        <v>9.1605000000000025</v>
      </c>
      <c r="L64" s="135">
        <f>SUMIF(Parcellaire!$B$2:$B$63,1,Parcellaire!L2:L63)</f>
        <v>602.92176846721225</v>
      </c>
      <c r="M64" s="135">
        <f>SUMIF(Parcellaire!$B$2:$B$63,1,Parcellaire!M2:M63)</f>
        <v>54</v>
      </c>
      <c r="N64" s="135">
        <f>SUMIF(Parcellaire!$B$2:$B$63,1,Parcellaire!N2:N63)</f>
        <v>54</v>
      </c>
      <c r="O64" s="135">
        <f>SUMIF(Parcellaire!$B$2:$B$63,1,Parcellaire!O2:O63)</f>
        <v>0</v>
      </c>
      <c r="P64" s="135">
        <f>SUMIF(Parcellaire!$B$2:$B$63,1,Parcellaire!P2:P63)</f>
        <v>27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2713.1479581024546</v>
      </c>
      <c r="T64" s="135">
        <f>SUMIF(Parcellaire!$B$2:$B$63,1,Parcellaire!T2:T63)</f>
        <v>1808.7653054016364</v>
      </c>
      <c r="U64" s="135">
        <f>SUMIF(Parcellaire!$B$2:$B$63,1,Parcellaire!U2:U63)</f>
        <v>3617.5306108032728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6" t="s">
        <v>2</v>
      </c>
      <c r="C3" s="286"/>
      <c r="D3" s="286" t="s">
        <v>0</v>
      </c>
      <c r="E3" s="286"/>
      <c r="F3" s="286" t="s">
        <v>1</v>
      </c>
      <c r="G3" s="286"/>
      <c r="H3" s="286" t="s">
        <v>3</v>
      </c>
      <c r="I3" s="286"/>
      <c r="J3" s="286" t="s">
        <v>4</v>
      </c>
      <c r="K3" s="286"/>
      <c r="L3" s="286" t="s">
        <v>5</v>
      </c>
      <c r="M3" s="286"/>
      <c r="N3" s="286" t="s">
        <v>6</v>
      </c>
      <c r="O3" s="286"/>
      <c r="P3" s="286" t="s">
        <v>7</v>
      </c>
      <c r="Q3" s="286"/>
      <c r="R3" s="286" t="s">
        <v>8</v>
      </c>
      <c r="S3" s="286"/>
      <c r="T3" s="286" t="s">
        <v>9</v>
      </c>
      <c r="U3" s="286"/>
      <c r="V3" s="286" t="s">
        <v>10</v>
      </c>
      <c r="W3" s="286"/>
      <c r="X3" s="286" t="s">
        <v>11</v>
      </c>
      <c r="Y3" s="286"/>
      <c r="AE3" s="286" t="s">
        <v>2</v>
      </c>
      <c r="AF3" s="286"/>
      <c r="AG3" s="286" t="s">
        <v>0</v>
      </c>
      <c r="AH3" s="286"/>
      <c r="AI3" s="286" t="s">
        <v>1</v>
      </c>
      <c r="AJ3" s="286"/>
      <c r="AK3" s="286" t="s">
        <v>3</v>
      </c>
      <c r="AL3" s="286"/>
      <c r="AM3" s="286" t="s">
        <v>4</v>
      </c>
      <c r="AN3" s="286"/>
      <c r="AO3" s="286" t="s">
        <v>5</v>
      </c>
      <c r="AP3" s="286"/>
      <c r="AQ3" s="286" t="s">
        <v>6</v>
      </c>
      <c r="AR3" s="286"/>
      <c r="AS3" s="286" t="s">
        <v>7</v>
      </c>
      <c r="AT3" s="286"/>
      <c r="AU3" s="286" t="s">
        <v>8</v>
      </c>
      <c r="AV3" s="286"/>
      <c r="AW3" s="286" t="s">
        <v>9</v>
      </c>
      <c r="AX3" s="286"/>
      <c r="AY3" s="286" t="s">
        <v>10</v>
      </c>
      <c r="AZ3" s="286"/>
      <c r="BA3" s="286" t="s">
        <v>11</v>
      </c>
      <c r="BB3" s="286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6" t="s">
        <v>2</v>
      </c>
      <c r="C29" s="286"/>
      <c r="D29" s="286" t="s">
        <v>0</v>
      </c>
      <c r="E29" s="286"/>
      <c r="F29" s="286" t="s">
        <v>1</v>
      </c>
      <c r="G29" s="286"/>
      <c r="H29" s="286" t="s">
        <v>3</v>
      </c>
      <c r="I29" s="286"/>
      <c r="J29" s="286" t="s">
        <v>4</v>
      </c>
      <c r="K29" s="286"/>
      <c r="L29" s="286" t="s">
        <v>5</v>
      </c>
      <c r="M29" s="286"/>
      <c r="N29" s="286" t="s">
        <v>6</v>
      </c>
      <c r="O29" s="286"/>
      <c r="P29" s="286" t="s">
        <v>7</v>
      </c>
      <c r="Q29" s="286"/>
      <c r="R29" s="286" t="s">
        <v>8</v>
      </c>
      <c r="S29" s="286"/>
      <c r="T29" s="286" t="s">
        <v>9</v>
      </c>
      <c r="U29" s="286"/>
      <c r="V29" s="286" t="s">
        <v>10</v>
      </c>
      <c r="W29" s="286"/>
      <c r="X29" s="286" t="s">
        <v>11</v>
      </c>
      <c r="Y29" s="286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2023-01-16T21:42:32Z</dcterms:modified>
</cp:coreProperties>
</file>