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19200" windowHeight="7515" tabRatio="734" activeTab="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0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S30" i="29"/>
  <c r="L30" i="29"/>
  <c r="K30" i="29"/>
  <c r="E30" i="29"/>
  <c r="D30" i="29"/>
  <c r="C30" i="29"/>
  <c r="Z29" i="29"/>
  <c r="Y29" i="29"/>
  <c r="S29" i="29"/>
  <c r="L29" i="29"/>
  <c r="K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AA72" i="29"/>
  <c r="Y72" i="29" s="1"/>
  <c r="K72" i="29"/>
  <c r="J72" i="29"/>
  <c r="E72" i="29"/>
  <c r="AA71" i="29"/>
  <c r="H71" i="29" s="1"/>
  <c r="X71" i="29"/>
  <c r="D71" i="29"/>
  <c r="AA70" i="29"/>
  <c r="R70" i="29" s="1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E70" i="29" l="1"/>
  <c r="F70" i="29"/>
  <c r="Y70" i="29"/>
  <c r="D73" i="29"/>
  <c r="H73" i="29"/>
  <c r="K73" i="29"/>
  <c r="O73" i="29"/>
  <c r="S73" i="29"/>
  <c r="C73" i="29"/>
  <c r="T73" i="29"/>
  <c r="X73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C54" i="32"/>
  <c r="D54" i="32" s="1"/>
  <c r="D53" i="32"/>
  <c r="C53" i="32"/>
  <c r="D52" i="32"/>
  <c r="C52" i="32"/>
  <c r="C51" i="32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46" i="31"/>
  <c r="B166" i="31" s="1"/>
  <c r="W273" i="31"/>
  <c r="AM217" i="32" s="1"/>
  <c r="T240" i="31"/>
  <c r="T273" i="31" s="1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B87" i="30"/>
  <c r="B86" i="30"/>
  <c r="F86" i="30" s="1"/>
  <c r="DC63" i="30"/>
  <c r="C274" i="32"/>
  <c r="C273" i="32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Z25" i="29"/>
  <c r="V25" i="29"/>
  <c r="V29" i="29" s="1"/>
  <c r="R25" i="29"/>
  <c r="R29" i="29" s="1"/>
  <c r="N25" i="29"/>
  <c r="N29" i="29" s="1"/>
  <c r="J25" i="29"/>
  <c r="J29" i="29" s="1"/>
  <c r="F25" i="29"/>
  <c r="F29" i="29" s="1"/>
  <c r="W25" i="29"/>
  <c r="W29" i="29" s="1"/>
  <c r="S25" i="29"/>
  <c r="O25" i="29"/>
  <c r="O29" i="29" s="1"/>
  <c r="K25" i="29"/>
  <c r="G25" i="29"/>
  <c r="G29" i="29" s="1"/>
  <c r="X26" i="29"/>
  <c r="X30" i="29" s="1"/>
  <c r="T26" i="29"/>
  <c r="T30" i="29" s="1"/>
  <c r="P26" i="29"/>
  <c r="P30" i="29" s="1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W30" i="29" s="1"/>
  <c r="O26" i="29"/>
  <c r="O30" i="29" s="1"/>
  <c r="G26" i="29"/>
  <c r="G30" i="29" s="1"/>
  <c r="Y25" i="29"/>
  <c r="Q25" i="29"/>
  <c r="Q29" i="29" s="1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274" i="32" l="1"/>
  <c r="D239" i="32"/>
  <c r="D280" i="32"/>
  <c r="D273" i="32"/>
  <c r="D51" i="32"/>
  <c r="N8" i="29"/>
  <c r="R72" i="30"/>
  <c r="Q8" i="29"/>
  <c r="R8" i="29"/>
  <c r="V72" i="30"/>
  <c r="Z72" i="30"/>
  <c r="V8" i="29"/>
  <c r="V201" i="29" s="1"/>
  <c r="V212" i="29" s="1"/>
  <c r="AD72" i="30"/>
  <c r="N72" i="30"/>
  <c r="I8" i="29"/>
  <c r="J72" i="30"/>
  <c r="AV90" i="32"/>
  <c r="CP91" i="32"/>
  <c r="BQ29" i="30"/>
  <c r="CJ90" i="32"/>
  <c r="D223" i="32"/>
  <c r="D224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BO100" i="30" s="1"/>
  <c r="BO101" i="30" s="1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AY92" i="31"/>
  <c r="AE166" i="31"/>
  <c r="G202" i="29"/>
  <c r="G213" i="29" s="1"/>
  <c r="AG166" i="31"/>
  <c r="N201" i="29"/>
  <c r="N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T29" i="29" s="1"/>
  <c r="J26" i="29"/>
  <c r="J30" i="29" s="1"/>
  <c r="R26" i="29"/>
  <c r="R30" i="29" s="1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M29" i="29" s="1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K72" i="30" s="1"/>
  <c r="G4" i="29"/>
  <c r="K3" i="29"/>
  <c r="O72" i="30" s="1"/>
  <c r="K4" i="29"/>
  <c r="O3" i="29"/>
  <c r="O4" i="29"/>
  <c r="S3" i="29"/>
  <c r="S4" i="29"/>
  <c r="W3" i="29"/>
  <c r="AA72" i="30" s="1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I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P29" i="29" s="1"/>
  <c r="X25" i="29"/>
  <c r="X29" i="29" s="1"/>
  <c r="F26" i="29"/>
  <c r="F30" i="29" s="1"/>
  <c r="N26" i="29"/>
  <c r="N30" i="29" s="1"/>
  <c r="V26" i="29"/>
  <c r="V30" i="29" s="1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D186" i="32" l="1"/>
  <c r="AJ217" i="32" s="1"/>
  <c r="S8" i="29"/>
  <c r="W72" i="30"/>
  <c r="O8" i="29"/>
  <c r="S72" i="30"/>
  <c r="U72" i="30"/>
  <c r="Y72" i="30"/>
  <c r="T72" i="30"/>
  <c r="X72" i="30"/>
  <c r="P8" i="29"/>
  <c r="P201" i="29" s="1"/>
  <c r="P212" i="29" s="1"/>
  <c r="AC72" i="30"/>
  <c r="AB72" i="30"/>
  <c r="G72" i="30"/>
  <c r="C8" i="29"/>
  <c r="M72" i="30"/>
  <c r="L72" i="30"/>
  <c r="I72" i="30"/>
  <c r="D8" i="29"/>
  <c r="H72" i="30"/>
  <c r="Q72" i="30"/>
  <c r="P72" i="30"/>
  <c r="Y54" i="29"/>
  <c r="Y55" i="29" s="1"/>
  <c r="B110" i="30"/>
  <c r="E201" i="29"/>
  <c r="E212" i="29" s="1"/>
  <c r="M201" i="29"/>
  <c r="M212" i="29" s="1"/>
  <c r="D225" i="32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BO117" i="30" s="1"/>
  <c r="Z5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202" i="29" s="1"/>
  <c r="C213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D253" i="32" l="1"/>
  <c r="D252" i="32"/>
  <c r="W77" i="30"/>
  <c r="F72" i="30"/>
  <c r="G76" i="30"/>
  <c r="G77" i="30" s="1"/>
  <c r="D251" i="32"/>
  <c r="AJ186" i="28"/>
  <c r="AI186" i="28"/>
  <c r="AJ186" i="31"/>
  <c r="AI186" i="31"/>
  <c r="BO85" i="30"/>
  <c r="BO86" i="30" s="1"/>
  <c r="AH164" i="31"/>
  <c r="F203" i="29"/>
  <c r="AI164" i="28"/>
  <c r="AJ193" i="3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C75" i="32" l="1"/>
  <c r="AI228" i="31"/>
  <c r="C133" i="31" s="1"/>
  <c r="J133" i="31" s="1"/>
  <c r="AJ228" i="31"/>
  <c r="C134" i="31" s="1"/>
  <c r="J134" i="31" s="1"/>
  <c r="AI228" i="28"/>
  <c r="B109" i="30"/>
  <c r="B112" i="30" s="1"/>
  <c r="C191" i="32"/>
  <c r="BO87" i="30"/>
  <c r="BO102" i="30" s="1"/>
  <c r="Z9" i="30" s="1"/>
  <c r="C71" i="32"/>
  <c r="K48" i="28"/>
  <c r="B154" i="31" s="1"/>
  <c r="B149" i="31" s="1"/>
  <c r="J149" i="31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F6" i="30"/>
  <c r="C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F52" i="30"/>
  <c r="C264" i="32" s="1"/>
  <c r="C97" i="32"/>
  <c r="F57" i="30"/>
  <c r="C269" i="32" s="1"/>
  <c r="AA24" i="18"/>
  <c r="D246" i="32" l="1"/>
  <c r="C74" i="32"/>
  <c r="J154" i="31"/>
  <c r="C227" i="32" s="1"/>
  <c r="B155" i="31"/>
  <c r="I155" i="31" s="1"/>
  <c r="D191" i="32"/>
  <c r="C275" i="32"/>
  <c r="AD31" i="29"/>
  <c r="T236" i="31" s="1"/>
  <c r="T235" i="31"/>
  <c r="BN102" i="30"/>
  <c r="Y9" i="30" s="1"/>
  <c r="AY102" i="30"/>
  <c r="J9" i="30" s="1"/>
  <c r="CI102" i="30"/>
  <c r="N10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N13" i="30" l="1"/>
  <c r="D275" i="32"/>
  <c r="T274" i="31"/>
  <c r="X274" i="31" s="1"/>
  <c r="C187" i="32"/>
  <c r="X235" i="31"/>
  <c r="C308" i="32" s="1"/>
  <c r="T275" i="31"/>
  <c r="X275" i="31" s="1"/>
  <c r="C188" i="32"/>
  <c r="X236" i="31"/>
  <c r="C309" i="32" s="1"/>
  <c r="J13" i="30"/>
  <c r="AJ8" i="29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F58" i="30"/>
  <c r="C270" i="32" s="1"/>
  <c r="F9" i="30"/>
  <c r="R13" i="30"/>
  <c r="S13" i="30"/>
  <c r="W13" i="30"/>
  <c r="Z153" i="31"/>
  <c r="B158" i="31" s="1"/>
  <c r="J158" i="31" s="1"/>
  <c r="AA13" i="30"/>
  <c r="C289" i="32" l="1"/>
  <c r="D222" i="32"/>
  <c r="D188" i="32"/>
  <c r="AK227" i="32" s="1"/>
  <c r="AO227" i="32" s="1"/>
  <c r="D187" i="32"/>
  <c r="AJ218" i="32" s="1"/>
  <c r="AN218" i="32" s="1"/>
  <c r="F75" i="30"/>
  <c r="F76" i="30"/>
  <c r="B113" i="30" s="1"/>
  <c r="B125" i="30" s="1"/>
  <c r="T245" i="31"/>
  <c r="C189" i="32" s="1"/>
  <c r="B81" i="30"/>
  <c r="F81" i="30" s="1"/>
  <c r="B114" i="30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AK226" i="32" l="1"/>
  <c r="AO226" i="32" s="1"/>
  <c r="AJ219" i="32"/>
  <c r="AN219" i="32" s="1"/>
  <c r="D189" i="32"/>
  <c r="AK189" i="32" s="1"/>
  <c r="AO189" i="32" s="1"/>
  <c r="AO192" i="32" s="1"/>
  <c r="X245" i="31"/>
  <c r="J141" i="31" s="1"/>
  <c r="C219" i="32" s="1"/>
  <c r="C277" i="32"/>
  <c r="C193" i="32"/>
  <c r="C278" i="32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D277" i="32" l="1"/>
  <c r="X248" i="31"/>
  <c r="D219" i="32"/>
  <c r="D278" i="32"/>
  <c r="D291" i="32" s="1"/>
  <c r="D193" i="32"/>
  <c r="BE76" i="32"/>
  <c r="BE122" i="32" s="1"/>
  <c r="BE168" i="32" s="1"/>
  <c r="BE152" i="32"/>
  <c r="BE160" i="32" s="1"/>
  <c r="BE161" i="32" s="1"/>
  <c r="BE162" i="32" s="1"/>
  <c r="C291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G132" i="32"/>
  <c r="CG143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4" i="32" l="1"/>
  <c r="CG145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G146" i="32" l="1"/>
  <c r="CG148" i="32" s="1"/>
  <c r="BE146" i="32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G147" i="32" l="1"/>
  <c r="CG163" i="32" s="1"/>
  <c r="CE147" i="32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R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17" i="32" l="1"/>
  <c r="N202" i="24"/>
  <c r="N176" i="24"/>
  <c r="N185" i="24" s="1"/>
  <c r="N216" i="24" s="1"/>
  <c r="L201" i="24"/>
  <c r="L162" i="24"/>
  <c r="L172" i="24" s="1"/>
  <c r="L215" i="24" s="1"/>
  <c r="F176" i="24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S201" i="24" l="1"/>
  <c r="S162" i="24"/>
  <c r="S172" i="24" s="1"/>
  <c r="S215" i="24" s="1"/>
  <c r="O202" i="24"/>
  <c r="O176" i="24"/>
  <c r="O185" i="24" s="1"/>
  <c r="O216" i="24" s="1"/>
  <c r="M202" i="24"/>
  <c r="M176" i="24"/>
  <c r="M185" i="24" s="1"/>
  <c r="M216" i="24" s="1"/>
  <c r="M201" i="24"/>
  <c r="M211" i="24" s="1"/>
  <c r="M218" i="24" s="1"/>
  <c r="M162" i="24"/>
  <c r="M172" i="24" s="1"/>
  <c r="M215" i="24" s="1"/>
  <c r="P202" i="24"/>
  <c r="P176" i="24"/>
  <c r="P185" i="24" s="1"/>
  <c r="P216" i="24" s="1"/>
  <c r="Q202" i="24"/>
  <c r="Q176" i="24"/>
  <c r="Q185" i="24" s="1"/>
  <c r="Q216" i="24" s="1"/>
  <c r="U175" i="24"/>
  <c r="U185" i="24" s="1"/>
  <c r="U216" i="24" s="1"/>
  <c r="U162" i="24"/>
  <c r="U172" i="24" s="1"/>
  <c r="U215" i="24" s="1"/>
  <c r="Q201" i="24"/>
  <c r="Q211" i="24" s="1"/>
  <c r="Q218" i="24" s="1"/>
  <c r="Q162" i="24"/>
  <c r="Q172" i="24" s="1"/>
  <c r="Q215" i="24" s="1"/>
  <c r="P201" i="24"/>
  <c r="P162" i="24"/>
  <c r="P172" i="24" s="1"/>
  <c r="P215" i="24" s="1"/>
  <c r="O201" i="24"/>
  <c r="O211" i="24" s="1"/>
  <c r="O218" i="24" s="1"/>
  <c r="O162" i="24"/>
  <c r="O172" i="24" s="1"/>
  <c r="O215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P211" i="24"/>
  <c r="P218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H172" i="24" l="1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D166" i="32" l="1"/>
  <c r="D165" i="32"/>
  <c r="AA219" i="24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39" i="15"/>
  <c r="D10" i="31" s="1"/>
  <c r="D43" i="15"/>
  <c r="D9" i="31" s="1"/>
  <c r="B32" i="15"/>
  <c r="B60" i="15"/>
  <c r="B29" i="15"/>
  <c r="B45" i="15"/>
  <c r="D137" i="32" l="1"/>
  <c r="AK54" i="26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D184" i="32" l="1"/>
  <c r="T272" i="31"/>
  <c r="X272" i="31" s="1"/>
  <c r="J142" i="31" s="1"/>
  <c r="C220" i="32" s="1"/>
  <c r="X234" i="31"/>
  <c r="C185" i="32"/>
  <c r="F83" i="30"/>
  <c r="F84" i="30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42" i="32" l="1"/>
  <c r="D185" i="32"/>
  <c r="D183" i="32" s="1"/>
  <c r="AJ216" i="32" s="1"/>
  <c r="AN216" i="32" s="1"/>
  <c r="D220" i="32" s="1"/>
  <c r="C192" i="32"/>
  <c r="B115" i="30"/>
  <c r="B126" i="30" s="1"/>
  <c r="B167" i="31"/>
  <c r="J167" i="31" s="1"/>
  <c r="X237" i="31"/>
  <c r="C307" i="32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T215" i="18"/>
  <c r="Y5" i="22" s="1"/>
  <c r="D161" i="32" l="1"/>
  <c r="D192" i="32"/>
  <c r="D235" i="32" s="1"/>
  <c r="D236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C276" i="32"/>
  <c r="C235" i="32"/>
  <c r="J170" i="31"/>
  <c r="D276" i="32"/>
  <c r="C243" i="32"/>
  <c r="Z237" i="31"/>
  <c r="AA237" i="31" s="1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D162" i="32" l="1"/>
  <c r="C293" i="32"/>
  <c r="C290" i="32"/>
  <c r="C236" i="32"/>
  <c r="D243" i="32"/>
  <c r="C244" i="32"/>
  <c r="AB237" i="31"/>
  <c r="AC237" i="31" s="1"/>
  <c r="AF237" i="31" s="1"/>
  <c r="B178" i="31" s="1"/>
  <c r="C240" i="32" s="1"/>
  <c r="D290" i="32"/>
  <c r="D293" i="32"/>
  <c r="G156" i="32"/>
  <c r="C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D145" i="32" l="1"/>
  <c r="D244" i="32"/>
  <c r="AF8" i="22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F31" i="30"/>
  <c r="C211" i="32" l="1"/>
  <c r="C257" i="32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l="1"/>
  <c r="D169" i="32"/>
  <c r="C153" i="32"/>
  <c r="J21" i="31"/>
  <c r="C159" i="32" l="1"/>
  <c r="D153" i="32"/>
  <c r="K115" i="31"/>
  <c r="D159" i="32" l="1"/>
  <c r="M115" i="3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D138" i="32" l="1"/>
  <c r="J87" i="3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l="1"/>
  <c r="D281" i="32" s="1"/>
  <c r="D284" i="32" s="1"/>
  <c r="B118" i="30"/>
  <c r="D118" i="30" s="1"/>
  <c r="B6" i="31"/>
  <c r="C149" i="32" s="1"/>
  <c r="C148" i="32"/>
  <c r="C281" i="32"/>
  <c r="B106" i="30"/>
  <c r="K5" i="31"/>
  <c r="J5" i="31"/>
  <c r="D148" i="32" l="1"/>
  <c r="D149" i="32"/>
  <c r="C284" i="32"/>
  <c r="K6" i="31"/>
  <c r="J6" i="31"/>
  <c r="C195" i="32" s="1"/>
  <c r="T134" i="31"/>
  <c r="K112" i="31" s="1"/>
  <c r="J112" i="31" s="1"/>
  <c r="D195" i="32" l="1"/>
  <c r="K12" i="31"/>
  <c r="AF135" i="31"/>
  <c r="AF137" i="31" s="1"/>
  <c r="AF132" i="31"/>
  <c r="AF134" i="31" s="1"/>
  <c r="K11" i="31"/>
  <c r="C197" i="32" s="1"/>
  <c r="D197" i="32" l="1"/>
  <c r="AF147" i="3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U12" i="31"/>
  <c r="Y83" i="31" s="1"/>
  <c r="E83" i="31"/>
  <c r="L83" i="31" s="1"/>
  <c r="D144" i="32" l="1"/>
  <c r="J119" i="3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C282" i="32"/>
  <c r="D258" i="32"/>
  <c r="D282" i="32" s="1"/>
  <c r="F85" i="31"/>
  <c r="M85" i="31" s="1"/>
  <c r="J85" i="31" s="1"/>
  <c r="F83" i="31"/>
  <c r="M83" i="31" s="1"/>
  <c r="J83" i="31" s="1"/>
  <c r="D143" i="32" l="1"/>
  <c r="D285" i="32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K116" i="31"/>
  <c r="C212" i="32" s="1"/>
  <c r="T110" i="31"/>
  <c r="T112" i="31"/>
  <c r="M116" i="31"/>
  <c r="AG135" i="31"/>
  <c r="AG137" i="31" s="1"/>
  <c r="L12" i="31"/>
  <c r="J12" i="31"/>
  <c r="E82" i="31"/>
  <c r="D175" i="32" l="1"/>
  <c r="D212" i="32"/>
  <c r="L82" i="31"/>
  <c r="C179" i="32"/>
  <c r="AG132" i="31"/>
  <c r="AG134" i="31" s="1"/>
  <c r="AG147" i="31" s="1"/>
  <c r="U126" i="31" s="1"/>
  <c r="L11" i="31"/>
  <c r="C199" i="32" s="1"/>
  <c r="J11" i="31"/>
  <c r="AE19" i="31"/>
  <c r="C20" i="31" s="1"/>
  <c r="AF19" i="31"/>
  <c r="D20" i="31" s="1"/>
  <c r="C155" i="32" s="1"/>
  <c r="T17" i="31"/>
  <c r="S17" i="31"/>
  <c r="D179" i="32" l="1"/>
  <c r="D155" i="32"/>
  <c r="D199" i="32"/>
  <c r="J30" i="31"/>
  <c r="C177" i="32"/>
  <c r="C160" i="32"/>
  <c r="C176" i="32"/>
  <c r="J118" i="31"/>
  <c r="C218" i="32" s="1"/>
  <c r="C152" i="32"/>
  <c r="J20" i="31"/>
  <c r="L116" i="31"/>
  <c r="C214" i="32" s="1"/>
  <c r="T111" i="31"/>
  <c r="J82" i="31"/>
  <c r="D160" i="32" l="1"/>
  <c r="D176" i="32"/>
  <c r="D177" i="32"/>
  <c r="D218" i="32"/>
  <c r="J145" i="31"/>
  <c r="D214" i="32"/>
  <c r="C216" i="32"/>
  <c r="C158" i="32"/>
  <c r="D152" i="32"/>
  <c r="C178" i="32"/>
  <c r="D170" i="32"/>
  <c r="D178" i="32" s="1"/>
  <c r="C173" i="32"/>
  <c r="D158" i="32" l="1"/>
  <c r="C221" i="32"/>
  <c r="D216" i="32"/>
  <c r="D221" i="32" s="1"/>
  <c r="C174" i="32"/>
  <c r="D173" i="32"/>
  <c r="D174" i="32" l="1"/>
  <c r="T16" i="31"/>
  <c r="S16" i="31"/>
  <c r="AE18" i="31"/>
  <c r="C19" i="31" s="1"/>
  <c r="AF18" i="31"/>
  <c r="D19" i="31" s="1"/>
  <c r="C180" i="32" l="1"/>
  <c r="C154" i="32"/>
  <c r="C151" i="32"/>
  <c r="J19" i="31"/>
  <c r="D154" i="32" l="1"/>
  <c r="C194" i="32"/>
  <c r="J48" i="31"/>
  <c r="B174" i="31" s="1"/>
  <c r="C157" i="32"/>
  <c r="D151" i="32"/>
  <c r="C181" i="32"/>
  <c r="D180" i="32"/>
  <c r="D181" i="32" s="1"/>
  <c r="D157" i="32" l="1"/>
  <c r="B180" i="3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<sst xmlns="http://schemas.openxmlformats.org/spreadsheetml/2006/main" count="3020" uniqueCount="1471">
  <si>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</si>
  <si>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</si>
  <si>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</si>
  <si>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</si>
  <si>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</si>
  <si>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</si>
  <si>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</si>
  <si>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</si>
  <si>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</si>
  <si>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</si>
  <si>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</si>
  <si>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</si>
  <si>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</si>
  <si>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</si>
  <si>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</si>
  <si>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</si>
  <si>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</si>
  <si>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</si>
  <si>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</si>
  <si>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</si>
  <si>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</si>
  <si>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</si>
  <si>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</si>
  <si>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</si>
  <si>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</si>
  <si>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</si>
  <si>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</si>
  <si>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</si>
  <si>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</si>
  <si>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</si>
  <si>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</si>
  <si>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</si>
  <si>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</si>
  <si>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</si>
  <si>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</si>
  <si>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</si>
  <si>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</si>
  <si>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</si>
  <si>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</si>
  <si>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</si>
  <si>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</si>
  <si>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</si>
  <si>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</si>
  <si>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</si>
  <si>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</si>
  <si>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</si>
  <si>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</si>
  <si>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</si>
  <si>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</si>
  <si>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</si>
  <si>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</si>
  <si>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</si>
  <si>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</si>
  <si>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</si>
  <si>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</si>
  <si>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</si>
  <si>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</si>
  <si>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</si>
  <si>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</si>
  <si>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</si>
  <si>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</si>
  <si>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</si>
  <si>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</si>
  <si>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</si>
  <si>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</si>
  <si>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</si>
  <si>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</si>
  <si>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</si>
  <si>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</si>
  <si>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</si>
  <si>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</si>
  <si>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</si>
  <si>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</si>
  <si>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</si>
  <si>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</si>
  <si>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</si>
  <si>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</si>
  <si>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</si>
  <si>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</si>
  <si>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</si>
  <si>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</si>
  <si>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</si>
  <si>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</si>
  <si>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</si>
  <si>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</si>
  <si>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</si>
  <si>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</si>
  <si>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</si>
  <si>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</si>
  <si>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</si>
  <si>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</si>
  <si>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</si>
  <si>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</si>
  <si>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</si>
  <si>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</si>
  <si>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</si>
  <si>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</si>
  <si>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</si>
  <si>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</si>
  <si>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</si>
  <si>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</si>
  <si>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</si>
  <si>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</si>
  <si>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</si>
  <si>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</si>
  <si>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</si>
  <si>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</si>
  <si>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</si>
  <si>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</si>
  <si>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</si>
  <si>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</si>
  <si>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</si>
  <si>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</si>
  <si>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</si>
  <si>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</si>
  <si>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</si>
  <si>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</si>
  <si>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</si>
  <si>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</si>
  <si>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</si>
  <si>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</si>
  <si>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</si>
  <si>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</si>
  <si>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</si>
  <si>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</si>
  <si>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</si>
  <si>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</si>
  <si>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</si>
  <si>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</si>
  <si>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</si>
  <si>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</si>
  <si>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</si>
  <si>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</si>
  <si>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</si>
  <si>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</si>
  <si>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</si>
  <si>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</si>
  <si>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</si>
  <si>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</si>
  <si>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</si>
  <si>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</si>
  <si>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</si>
  <si>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</si>
  <si>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</si>
  <si>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</si>
  <si>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</si>
  <si>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</si>
  <si>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</si>
  <si>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</si>
  <si>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</si>
  <si>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</si>
  <si>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</si>
  <si>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</si>
  <si>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</si>
  <si>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</si>
  <si>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</si>
  <si>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</si>
  <si>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</si>
  <si>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</si>
  <si>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</si>
  <si>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</si>
  <si>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</si>
  <si>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</si>
  <si>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</si>
  <si>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</si>
  <si>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</si>
  <si>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</si>
  <si>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</si>
  <si>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</si>
  <si>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</si>
  <si>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</si>
  <si>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</si>
  <si>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</si>
  <si>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</si>
  <si>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</si>
  <si>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</si>
  <si>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</si>
  <si>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</si>
  <si>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</si>
  <si>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</si>
  <si>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</si>
  <si>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</si>
  <si>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</si>
  <si>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</si>
  <si>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</si>
  <si>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</si>
  <si>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</si>
  <si>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</si>
  <si>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</si>
  <si>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</si>
  <si>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</si>
  <si>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</si>
  <si>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</si>
  <si>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</si>
  <si>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</si>
  <si>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</si>
  <si>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</si>
  <si>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</si>
  <si>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</si>
  <si>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</si>
  <si>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</si>
  <si>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</si>
  <si>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</si>
  <si>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</si>
  <si>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</si>
  <si>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</si>
  <si>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</si>
  <si>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</si>
  <si>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</si>
  <si>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</si>
  <si>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</si>
  <si>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</si>
  <si>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</si>
  <si>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</si>
  <si>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</si>
  <si>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</si>
  <si>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</si>
  <si>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</si>
  <si>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</si>
  <si>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</si>
  <si>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</si>
  <si>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</si>
  <si>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</si>
  <si>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</si>
  <si>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</si>
  <si>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</si>
  <si>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</si>
  <si>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</si>
  <si>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</si>
  <si>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</si>
  <si>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</si>
  <si>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</si>
  <si>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</si>
  <si>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</si>
  <si>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</si>
  <si>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</si>
  <si>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</si>
  <si>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</si>
  <si>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</si>
  <si>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</si>
  <si>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</si>
  <si>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</si>
  <si>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</si>
  <si>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</si>
  <si>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</si>
  <si>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</si>
  <si>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</si>
  <si>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</si>
  <si>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</si>
  <si>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</si>
  <si>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</si>
  <si>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</si>
  <si>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</si>
  <si>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</si>
  <si>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</si>
  <si>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</si>
  <si>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</si>
  <si>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</si>
  <si>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</si>
  <si>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</si>
  <si>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</si>
  <si>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</si>
  <si>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</si>
  <si>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</si>
  <si>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</si>
  <si>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</si>
  <si>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</si>
  <si>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</si>
  <si>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</si>
  <si>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</si>
  <si>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</si>
  <si>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</si>
  <si>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</si>
  <si>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</si>
  <si>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</si>
  <si>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</si>
  <si>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</si>
  <si>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</si>
  <si>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</si>
  <si>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</si>
  <si>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</si>
  <si>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</si>
  <si>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</si>
  <si>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</si>
  <si>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</si>
  <si>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</si>
  <si>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</si>
  <si>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</si>
  <si>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</si>
  <si>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</si>
  <si>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</si>
  <si>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</si>
  <si>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</si>
  <si>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</si>
  <si>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</si>
  <si>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</si>
  <si>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</si>
  <si>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</si>
  <si>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</si>
  <si>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</si>
  <si>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</si>
  <si>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</si>
  <si>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</si>
  <si>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</si>
  <si>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</si>
  <si>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</si>
  <si>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</si>
  <si>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</si>
  <si>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</si>
  <si>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</si>
  <si>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</si>
  <si>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</si>
  <si>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</si>
  <si>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</si>
  <si>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</si>
  <si>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</si>
  <si>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</si>
  <si>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</si>
  <si>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</si>
  <si>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</si>
  <si>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</si>
  <si>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</si>
  <si>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</si>
  <si>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</si>
  <si>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</si>
  <si>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</si>
  <si>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</si>
  <si>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</si>
  <si>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</si>
  <si>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</si>
  <si>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</si>
  <si>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</si>
  <si>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</si>
  <si>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</si>
  <si>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</si>
  <si>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</si>
  <si>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</si>
  <si>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</si>
  <si>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</si>
  <si>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</si>
  <si>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</si>
  <si>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</si>
  <si>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</si>
  <si>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</si>
  <si>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</si>
  <si>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</si>
  <si>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</si>
  <si>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</si>
  <si>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</si>
  <si>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</si>
  <si>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</si>
  <si>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</si>
  <si>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</si>
  <si>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</si>
  <si>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</si>
  <si>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</si>
  <si>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</si>
  <si>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</si>
  <si>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</si>
  <si>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</si>
  <si>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</si>
  <si>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</si>
  <si>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</si>
  <si>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</si>
  <si>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</si>
  <si>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</si>
  <si>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</si>
  <si>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</si>
  <si>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</si>
  <si>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</si>
  <si>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</si>
  <si>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</si>
  <si>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</si>
  <si>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</si>
  <si>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</si>
  <si>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</si>
  <si>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</si>
  <si>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</si>
  <si>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</si>
  <si>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</si>
  <si>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</si>
  <si>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</si>
  <si>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</si>
  <si>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</si>
  <si>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</si>
  <si>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</si>
  <si>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</si>
  <si>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</si>
  <si>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</si>
  <si>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</si>
  <si>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</si>
  <si>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</si>
  <si>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</si>
  <si>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</si>
  <si>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</si>
  <si>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</si>
  <si>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</si>
  <si>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</si>
  <si>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</si>
  <si>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</si>
  <si>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</si>
  <si>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</si>
  <si>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</si>
  <si>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</si>
  <si>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</si>
  <si>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</si>
  <si>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</si>
  <si>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</si>
  <si>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</si>
  <si>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</si>
  <si>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</si>
  <si>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</si>
  <si>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</si>
  <si>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</si>
  <si>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</si>
  <si>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</si>
  <si>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</si>
  <si>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</si>
  <si>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</si>
  <si>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</si>
  <si>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</si>
  <si>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</si>
  <si>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</si>
  <si>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</si>
  <si>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</si>
  <si>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</si>
  <si>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</si>
  <si>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</si>
  <si>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</si>
  <si>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</si>
  <si>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</si>
  <si>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</si>
  <si>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</si>
  <si>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</si>
  <si>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</si>
  <si>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</si>
  <si>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</si>
  <si>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</si>
  <si>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</si>
  <si>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</si>
  <si>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</si>
  <si>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</si>
  <si>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</si>
  <si>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</si>
  <si>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</si>
  <si>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</si>
  <si>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</si>
  <si>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</si>
  <si>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</si>
  <si>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</si>
  <si>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</si>
  <si>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</si>
  <si>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</si>
  <si>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</si>
  <si>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</si>
  <si>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</si>
  <si>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</si>
  <si>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</si>
  <si>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</si>
  <si>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</si>
  <si>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</si>
  <si>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</si>
  <si>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</si>
  <si>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</si>
  <si>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</si>
  <si>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</si>
  <si>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</si>
  <si>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</si>
  <si>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</si>
  <si>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</si>
  <si>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</si>
  <si>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</si>
  <si>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</si>
  <si>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</si>
  <si>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</si>
  <si>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</si>
  <si>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</si>
  <si>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</si>
  <si>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</si>
  <si>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</si>
  <si>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</si>
  <si>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</si>
  <si>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</si>
  <si>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</si>
  <si>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</si>
  <si>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</si>
  <si>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</si>
  <si>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</si>
  <si>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</si>
  <si>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</si>
  <si>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</si>
  <si>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</si>
  <si>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</si>
  <si>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</si>
  <si>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</si>
  <si>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</si>
  <si>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</si>
  <si>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</si>
  <si>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</si>
  <si>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</si>
  <si>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</si>
  <si>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</si>
  <si>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</si>
  <si>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</si>
  <si>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</si>
  <si>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</si>
  <si>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</si>
  <si>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</si>
  <si>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</si>
  <si>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</si>
  <si>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</si>
  <si>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</si>
  <si>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</si>
  <si>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</si>
  <si>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</si>
  <si>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</si>
  <si>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</si>
  <si>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</si>
  <si>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</si>
  <si>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</si>
  <si>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</si>
  <si>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</si>
  <si>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</si>
  <si>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</si>
  <si>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</si>
  <si>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</si>
  <si>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</si>
  <si>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</si>
  <si>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</si>
  <si>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</si>
  <si>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</si>
  <si>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</si>
  <si>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</si>
  <si>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</si>
  <si>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</si>
  <si>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</si>
  <si>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</si>
  <si>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</si>
  <si>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</si>
  <si>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</si>
  <si>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</si>
  <si>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</si>
  <si>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</si>
  <si>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</si>
  <si>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</si>
  <si>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</si>
  <si>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</si>
  <si>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</si>
  <si>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</si>
  <si>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</si>
  <si>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</si>
  <si>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</si>
  <si>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</si>
  <si>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</si>
  <si>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</si>
  <si>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</si>
  <si>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</si>
  <si>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</si>
  <si>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</si>
  <si>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</si>
  <si>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</si>
  <si>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</si>
  <si>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</si>
  <si>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</si>
  <si>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</si>
  <si>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</si>
  <si>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</si>
  <si>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</si>
  <si>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</si>
  <si>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</si>
  <si>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</si>
  <si>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</si>
  <si>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</si>
  <si>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</si>
  <si>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</si>
  <si>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</si>
  <si>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</si>
  <si>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</si>
  <si>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</si>
  <si>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</si>
  <si>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</si>
  <si>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</si>
  <si>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</si>
  <si>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</si>
  <si>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</si>
  <si>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</si>
  <si>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</si>
  <si>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</si>
  <si>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</si>
  <si>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</si>
  <si>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</si>
  <si>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</si>
  <si>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</si>
  <si>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</si>
  <si>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</si>
  <si>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</si>
  <si>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</si>
  <si>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</si>
  <si>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</si>
  <si>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</si>
  <si>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</si>
  <si>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</si>
  <si>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</si>
  <si>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</si>
  <si>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</si>
  <si>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</si>
  <si>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</si>
  <si>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</si>
  <si>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</si>
  <si>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</si>
  <si>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</si>
  <si>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</si>
  <si>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</si>
  <si>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</si>
  <si>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</si>
  <si>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</si>
  <si>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</si>
  <si>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</si>
  <si>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</si>
  <si>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</si>
  <si>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</si>
  <si>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</si>
  <si>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</si>
  <si>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</si>
  <si>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</si>
  <si>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</si>
  <si>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</si>
  <si>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</si>
  <si>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</si>
  <si>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</si>
  <si>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</si>
  <si>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</si>
  <si>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</si>
  <si>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</si>
  <si>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</si>
  <si>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</si>
  <si>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</si>
  <si>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</si>
  <si>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</si>
  <si>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</si>
  <si>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</si>
  <si>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</si>
  <si>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</si>
  <si>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</si>
  <si>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</si>
  <si>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</si>
  <si>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</si>
  <si>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</si>
  <si>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</si>
  <si>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</si>
  <si>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</si>
  <si>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</si>
  <si>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</si>
  <si>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</si>
  <si>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</si>
  <si>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</si>
  <si>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</si>
  <si>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</si>
  <si>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</si>
  <si>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</si>
  <si>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</si>
  <si>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</si>
  <si>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</si>
  <si>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</si>
  <si>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</si>
  <si>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</si>
  <si>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</si>
  <si>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</si>
  <si>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</si>
  <si>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</si>
  <si>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</si>
  <si>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</si>
  <si>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</si>
  <si>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</si>
  <si>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</si>
  <si>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</si>
  <si>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</si>
  <si>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</si>
  <si>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</si>
  <si>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</si>
  <si>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</si>
  <si>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</si>
  <si>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</si>
  <si>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</si>
  <si>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</si>
  <si>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</si>
  <si>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</si>
  <si>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</si>
  <si>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</si>
  <si>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</si>
  <si>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</si>
  <si>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</si>
  <si>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</si>
  <si>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</si>
  <si>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</si>
  <si>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</si>
  <si>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</si>
  <si>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</si>
  <si>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</si>
  <si>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</si>
  <si>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</si>
  <si>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</si>
  <si>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</si>
  <si>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</si>
  <si>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</si>
  <si>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</si>
  <si>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</si>
  <si>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</si>
  <si>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</si>
  <si>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</si>
  <si>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</si>
  <si>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</si>
  <si>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</si>
  <si>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</si>
  <si>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</si>
  <si>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</si>
  <si>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</si>
  <si>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</si>
  <si>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</si>
  <si>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</si>
  <si>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</si>
  <si>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</si>
  <si>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</si>
  <si>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</si>
  <si>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</si>
  <si>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</si>
  <si>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</si>
  <si>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</si>
  <si>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</si>
  <si>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</si>
  <si>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</si>
  <si>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</si>
  <si>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</si>
  <si>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</si>
  <si>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</si>
  <si>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</si>
  <si>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</si>
  <si>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</si>
  <si>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</si>
  <si>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</si>
  <si>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</si>
  <si>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</si>
  <si>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</si>
  <si>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</si>
  <si>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</si>
  <si>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</si>
  <si>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</si>
  <si>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</si>
  <si>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</si>
  <si>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</si>
  <si>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</si>
  <si>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</si>
  <si>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</si>
  <si>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</si>
  <si>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</si>
  <si>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</si>
  <si>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</si>
  <si>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</si>
  <si>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</si>
  <si>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</si>
  <si>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</si>
  <si>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</si>
  <si>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</si>
  <si>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</si>
  <si>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</si>
  <si>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</si>
  <si>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</si>
  <si>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</si>
  <si>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</si>
  <si>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</si>
  <si>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</si>
  <si>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</si>
  <si>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</si>
  <si>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</si>
  <si>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</si>
  <si>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</si>
  <si>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</si>
  <si>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</si>
  <si>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</si>
  <si>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</si>
  <si>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</si>
  <si>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</si>
  <si>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</si>
  <si>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</si>
  <si>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</si>
  <si>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</si>
  <si>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</si>
  <si>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</si>
  <si>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</si>
  <si>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</si>
  <si>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</si>
  <si>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</si>
  <si>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</si>
  <si>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</si>
  <si>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</si>
  <si>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</si>
  <si>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</si>
  <si>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</si>
  <si>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</si>
  <si>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</si>
  <si>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</si>
  <si>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</si>
  <si>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</si>
  <si>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</si>
  <si>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</si>
  <si>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</si>
  <si>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</si>
  <si>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</si>
  <si>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</si>
  <si>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</si>
  <si>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</si>
  <si>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</si>
  <si>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</si>
  <si>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</si>
  <si>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</si>
  <si>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</si>
  <si>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</si>
  <si>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</si>
  <si>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</si>
  <si>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</si>
  <si>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</si>
  <si>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</si>
  <si>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</si>
  <si>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</si>
  <si>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</si>
  <si>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</si>
  <si>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</si>
  <si>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</si>
  <si>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</si>
  <si>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</si>
  <si>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</si>
  <si>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</si>
  <si>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</si>
  <si>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</si>
  <si>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</si>
  <si>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</si>
  <si>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</si>
  <si>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</si>
  <si>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</si>
  <si>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</si>
  <si>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</si>
  <si>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</si>
  <si>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</si>
  <si>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</si>
  <si>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</si>
  <si>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</si>
  <si>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</si>
  <si>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</si>
  <si>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</si>
  <si>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</si>
  <si>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</si>
  <si>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</si>
  <si>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</si>
  <si>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</si>
  <si>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</si>
  <si>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</si>
  <si>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</si>
  <si>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</si>
  <si>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</si>
  <si>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</si>
  <si>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</si>
  <si>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</si>
  <si>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</si>
  <si>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</si>
  <si>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</si>
  <si>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</si>
  <si>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</si>
  <si>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</si>
  <si>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</si>
  <si>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</si>
  <si>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</si>
  <si>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</si>
  <si>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</si>
  <si>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</si>
  <si>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</si>
  <si>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</si>
  <si>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</si>
  <si>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</si>
  <si>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</si>
  <si>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</si>
  <si>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</si>
  <si>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</si>
  <si>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</si>
  <si>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</si>
  <si>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</si>
  <si>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</si>
  <si>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</si>
  <si>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</si>
  <si>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</si>
  <si>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</si>
  <si>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</si>
  <si>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</si>
  <si>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</si>
  <si>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</si>
  <si>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</si>
  <si>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</si>
  <si>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</si>
  <si>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</si>
  <si>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</si>
  <si>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</si>
  <si>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</si>
  <si>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</si>
  <si>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</si>
  <si>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</si>
  <si>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</si>
  <si>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</si>
  <si>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</si>
  <si>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</si>
  <si>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</si>
  <si>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</si>
  <si>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</si>
  <si>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</si>
  <si>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</si>
  <si>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</si>
  <si>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</si>
  <si>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</si>
  <si>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</si>
  <si>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</si>
  <si>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</si>
  <si>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</si>
  <si>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</si>
  <si>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</si>
  <si>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</si>
  <si>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</si>
  <si>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</si>
  <si>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</si>
  <si>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</si>
  <si>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</si>
  <si>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</si>
  <si>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</si>
  <si>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</si>
  <si>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</si>
  <si>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</si>
  <si>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</si>
  <si>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</si>
  <si>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</si>
  <si>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</si>
  <si>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</si>
  <si>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</si>
  <si>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</si>
  <si>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</si>
  <si>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</si>
  <si>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</si>
  <si>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</si>
  <si>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</si>
  <si>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</si>
  <si>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</si>
  <si>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</si>
  <si>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</si>
  <si>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</si>
  <si>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</si>
  <si>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</si>
  <si>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</si>
  <si>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</si>
  <si>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</si>
  <si>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</si>
  <si>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</si>
  <si>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</si>
  <si>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</si>
  <si>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</si>
  <si>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</si>
  <si>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</si>
  <si>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</si>
  <si>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</si>
  <si>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</si>
  <si>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</si>
  <si>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</si>
  <si>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</si>
  <si>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</si>
  <si>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</si>
  <si>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</si>
  <si>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</si>
  <si>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</si>
  <si>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</si>
  <si>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</si>
  <si>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</si>
  <si>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</si>
  <si>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</si>
  <si>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</si>
  <si>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</si>
  <si>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</si>
  <si>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</si>
  <si>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</si>
  <si>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</si>
  <si>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</si>
  <si>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</si>
  <si>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</si>
  <si>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</si>
  <si>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</si>
  <si>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</si>
  <si>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</si>
  <si>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</si>
  <si>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</si>
  <si>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</si>
  <si>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</si>
  <si>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</si>
  <si>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</si>
  <si>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</si>
  <si>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</si>
  <si>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</si>
  <si>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</si>
  <si>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</si>
  <si>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</si>
  <si>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</si>
  <si>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</si>
  <si>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</si>
  <si>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</si>
  <si>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</si>
  <si>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</si>
  <si>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</si>
  <si>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</si>
  <si>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</si>
  <si>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</si>
  <si>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</si>
  <si>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</si>
  <si>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</si>
  <si>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</si>
  <si>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</si>
  <si>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</si>
  <si>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</si>
  <si>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</si>
  <si>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</si>
  <si>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</si>
  <si>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</si>
  <si>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</si>
  <si>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</si>
  <si>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</si>
  <si>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</si>
  <si>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</si>
  <si>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</si>
  <si>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</si>
  <si>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</si>
  <si>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</si>
  <si>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</si>
  <si>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</si>
  <si>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</si>
  <si>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</si>
  <si>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</si>
  <si>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</si>
  <si>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</si>
  <si>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</si>
  <si>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</si>
  <si>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</si>
  <si>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</si>
  <si>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</si>
  <si>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</si>
  <si>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</si>
  <si>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</si>
  <si>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</si>
  <si>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</si>
  <si>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</si>
  <si>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</si>
  <si>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</si>
  <si>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</si>
  <si>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</si>
  <si>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</si>
  <si>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</si>
  <si>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</si>
  <si>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</si>
  <si>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</si>
  <si>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</si>
  <si>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</si>
  <si>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</si>
  <si>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</si>
  <si>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</si>
  <si>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</si>
  <si>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</si>
  <si>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</si>
  <si>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</si>
  <si>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</si>
  <si>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</si>
  <si>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</si>
  <si>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</si>
  <si>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</si>
  <si>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</si>
  <si>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</si>
  <si>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</si>
  <si>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</si>
  <si>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</si>
  <si>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</si>
  <si>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</si>
  <si>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</si>
  <si>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</si>
  <si>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</si>
  <si>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</si>
  <si>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</si>
  <si>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</si>
  <si>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</si>
  <si>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</si>
  <si>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</si>
  <si>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</si>
  <si>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</si>
  <si>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</si>
  <si>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</si>
  <si>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</si>
  <si>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</si>
  <si>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</si>
  <si>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</si>
  <si>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</si>
  <si>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</si>
  <si>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</si>
  <si>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</si>
  <si>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</si>
  <si>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</si>
  <si>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</si>
  <si>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</si>
  <si>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</si>
  <si>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</si>
  <si>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</si>
  <si>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</si>
  <si>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</si>
  <si>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</si>
  <si>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</si>
  <si>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</si>
  <si>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</si>
  <si>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</si>
  <si>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</si>
  <si>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</si>
  <si>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</si>
  <si>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</si>
  <si>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</si>
  <si>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</si>
  <si>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</si>
  <si>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</si>
  <si>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</si>
  <si>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</si>
  <si>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</si>
  <si>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</si>
  <si>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</si>
  <si>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</si>
  <si>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</si>
  <si>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</si>
  <si>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</si>
  <si>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</si>
  <si>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</si>
  <si>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</si>
  <si>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</si>
  <si>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</si>
  <si>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</si>
  <si>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</si>
  <si>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</si>
  <si>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</si>
  <si>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</si>
  <si>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</si>
  <si>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</si>
  <si>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</si>
  <si>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</si>
  <si>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</si>
  <si>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</si>
  <si>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</si>
  <si>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</si>
  <si>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</si>
  <si>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</si>
  <si>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</si>
  <si>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</si>
  <si>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</si>
  <si>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</si>
  <si>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</si>
  <si>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</si>
  <si>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</si>
  <si>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</si>
  <si>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</si>
  <si>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</si>
  <si>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</si>
  <si>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</si>
  <si>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</si>
  <si>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</si>
  <si>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</si>
  <si>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</si>
  <si>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</si>
  <si>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</si>
  <si>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</si>
  <si>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</si>
  <si>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</si>
  <si>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</si>
  <si>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</si>
  <si>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</si>
  <si>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</si>
  <si>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</si>
  <si>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</si>
  <si>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</si>
  <si>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</si>
  <si>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</si>
  <si>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</si>
  <si>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</si>
  <si>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</si>
  <si>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</si>
  <si>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</si>
  <si>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</si>
  <si>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</si>
  <si>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</si>
  <si>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</si>
  <si>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</si>
  <si>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</si>
  <si>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</si>
  <si>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</si>
  <si>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</si>
  <si>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</si>
  <si>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</si>
  <si>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</si>
  <si>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</si>
  <si>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</si>
  <si>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</si>
  <si>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</si>
  <si>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</si>
  <si>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</si>
  <si>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</si>
  <si>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</si>
  <si>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</si>
  <si>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</si>
  <si>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</si>
  <si>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</si>
  <si>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</si>
  <si>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</si>
  <si>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</si>
  <si>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</si>
  <si>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</si>
  <si>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</si>
  <si>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</si>
  <si>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</si>
  <si>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</si>
  <si>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</si>
  <si>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</si>
  <si>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</si>
  <si>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</si>
  <si>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</si>
  <si>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</si>
  <si>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</si>
  <si>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</si>
  <si>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</si>
  <si>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</si>
  <si>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</si>
  <si>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</si>
  <si>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</si>
  <si>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</si>
  <si>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</si>
  <si>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</si>
  <si>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</si>
  <si>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</si>
  <si>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</si>
  <si>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</si>
  <si>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</si>
  <si>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</si>
  <si>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</si>
  <si>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</si>
  <si>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</si>
  <si>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</si>
  <si>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</si>
  <si>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</si>
  <si>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</si>
  <si>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</si>
  <si>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</si>
  <si>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</si>
  <si>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</si>
  <si>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</si>
  <si>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</si>
  <si>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</si>
  <si>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</si>
  <si>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</si>
  <si>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</si>
  <si>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</si>
  <si>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</si>
  <si>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</si>
  <si>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</si>
  <si>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</si>
  <si>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</si>
  <si>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</si>
  <si>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</si>
  <si>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</si>
  <si>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</si>
  <si>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</si>
  <si>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</si>
  <si>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</si>
  <si>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</si>
  <si>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</si>
  <si>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</si>
  <si>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</si>
  <si>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</si>
  <si>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</si>
  <si>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</si>
  <si>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</si>
  <si>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</si>
  <si>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</si>
  <si>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</si>
  <si>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</si>
  <si>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</si>
  <si>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</si>
  <si>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</si>
  <si>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</si>
  <si>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</si>
  <si>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</si>
  <si>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</si>
  <si>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</si>
  <si>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</si>
  <si>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</si>
  <si>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</si>
  <si>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</si>
  <si>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</si>
  <si>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</si>
  <si>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</si>
  <si>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</si>
  <si>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</si>
  <si>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</si>
  <si>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</si>
  <si>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</si>
  <si>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</si>
  <si>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</si>
  <si>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</si>
  <si>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</si>
  <si>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</si>
  <si>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</si>
  <si>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</si>
  <si>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</si>
  <si>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</si>
  <si>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</si>
  <si>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</si>
  <si>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</si>
  <si>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</si>
  <si>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</si>
  <si>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</si>
  <si>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</si>
  <si>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</si>
  <si>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</si>
  <si>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</si>
  <si>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</si>
  <si>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</si>
  <si>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</si>
  <si>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</si>
  <si>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</si>
  <si>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</si>
  <si>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</si>
  <si>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</si>
  <si>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</si>
  <si>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</si>
  <si>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</si>
  <si>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</si>
  <si>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</si>
  <si>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</si>
  <si>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</si>
  <si>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</si>
  <si>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</si>
  <si>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</si>
  <si>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</si>
  <si>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</si>
  <si>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</si>
  <si>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</si>
  <si>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</si>
  <si>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</si>
  <si>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</si>
  <si>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</si>
  <si>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</si>
  <si>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</si>
  <si>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</si>
  <si>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</si>
  <si>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</si>
  <si>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</si>
  <si>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</si>
  <si>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</si>
  <si>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</si>
  <si>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</si>
  <si>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</si>
  <si>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</si>
  <si>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</si>
  <si>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</si>
  <si>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</si>
  <si>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</si>
  <si>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</si>
  <si>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</si>
  <si>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</si>
  <si>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</si>
  <si>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</si>
  <si>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</si>
  <si>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</si>
  <si>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</si>
  <si>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</si>
  <si>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</si>
  <si>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</si>
  <si>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</si>
  <si>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</si>
  <si>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</si>
  <si>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</si>
  <si>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</si>
  <si>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</si>
  <si>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</si>
  <si>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</si>
  <si>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</si>
  <si>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</si>
  <si>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</si>
  <si>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</si>
  <si>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</si>
  <si>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</si>
  <si>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</si>
  <si>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</si>
  <si>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</si>
  <si>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</si>
  <si>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</si>
  <si>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</si>
  <si>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</si>
  <si>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</si>
  <si>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</si>
  <si>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</si>
  <si>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</si>
  <si>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</si>
  <si>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</si>
  <si>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</si>
  <si>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</si>
  <si>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</si>
  <si>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</si>
  <si>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</si>
  <si>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</si>
  <si>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</si>
  <si>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</si>
  <si>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</si>
  <si>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</si>
  <si>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</si>
  <si>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</si>
  <si>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</si>
  <si>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</si>
  <si>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</si>
  <si>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</si>
  <si>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</si>
  <si>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</si>
  <si>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</si>
  <si>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</si>
  <si>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</si>
  <si>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</si>
  <si>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</si>
  <si>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</si>
  <si>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</si>
  <si>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</si>
  <si>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</si>
  <si>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</si>
  <si>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</si>
  <si>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</si>
  <si>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</si>
  <si>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</si>
  <si>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</si>
  <si>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</si>
  <si>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</si>
  <si>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</si>
  <si>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</si>
  <si>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</si>
  <si>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</si>
  <si>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</si>
  <si>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</si>
  <si>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</si>
  <si>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</si>
  <si>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</si>
  <si>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</si>
  <si>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</si>
  <si>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</si>
  <si>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</si>
  <si>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</si>
  <si>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</si>
  <si>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</si>
  <si>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</si>
  <si>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</si>
  <si>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</si>
  <si>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</si>
  <si>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</si>
  <si>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</si>
  <si>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</si>
  <si>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</si>
  <si>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</si>
  <si>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</si>
  <si>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</si>
  <si>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</si>
  <si>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</si>
  <si>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Z2_OLBV_T3_MC2s2</t>
  </si>
  <si>
    <t>tardives + vides</t>
  </si>
  <si>
    <t>(ancien lot de vides)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</si>
</sst>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0" zoomScale="80" zoomScaleNormal="80" workbookViewId="0">
      <selection activeCell="K60" sqref="K6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1468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24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10.8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4.8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3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>
        <v>1</v>
      </c>
      <c r="P58" t="s">
        <v>583</v>
      </c>
    </row>
    <row r="59" spans="10:132" x14ac:dyDescent="0.25">
      <c r="J59" s="14" t="s">
        <v>1467</v>
      </c>
      <c r="K59" s="1">
        <v>1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/>
      <c r="L61" s="30" t="str">
        <f>IF(COUNTIF(CdTrp2!B76:Y85,5)&gt;0, "OUI", "NON")</f>
        <v>NON</v>
      </c>
      <c r="P61" t="s">
        <v>590</v>
      </c>
    </row>
    <row r="62" spans="10:132" x14ac:dyDescent="0.25">
      <c r="J62" s="14" t="s">
        <v>591</v>
      </c>
      <c r="K62" s="80"/>
    </row>
    <row r="63" spans="10:132" x14ac:dyDescent="0.25">
      <c r="J63"/>
      <c r="K63"/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612</v>
      </c>
      <c r="K80" s="80">
        <v>20</v>
      </c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2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2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>
        <v>1</v>
      </c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>
        <v>1</v>
      </c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4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4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10"/>
        <v>6.8</v>
      </c>
      <c r="V188" s="170">
        <f t="shared" si="11"/>
        <v>6.8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6.8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6.8</v>
      </c>
      <c r="AL188" s="5"/>
    </row>
    <row r="189" spans="17:38" x14ac:dyDescent="0.25"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0.5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10"/>
        <v>3.2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3.2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3.2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24</v>
      </c>
      <c r="V228" s="62">
        <f t="shared" ref="V228:W228" si="22">SUM(V164:V227)</f>
        <v>10.8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4.5</v>
      </c>
      <c r="AI228" s="62">
        <f t="shared" si="24"/>
        <v>13.2</v>
      </c>
      <c r="AJ228" s="62">
        <f t="shared" si="24"/>
        <v>10.8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1</v>
      </c>
      <c r="O7" s="174">
        <f t="shared" si="12"/>
        <v>1</v>
      </c>
      <c r="P7" s="174">
        <f t="shared" si="12"/>
        <v>1</v>
      </c>
      <c r="Q7" s="174">
        <f t="shared" si="12"/>
        <v>1</v>
      </c>
      <c r="R7" s="174">
        <f t="shared" si="12"/>
        <v>1</v>
      </c>
      <c r="S7" s="174">
        <f t="shared" si="12"/>
        <v>1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4</v>
      </c>
      <c r="O12" s="174">
        <f>O7*[1]Protect!$B$15</f>
        <v>4</v>
      </c>
      <c r="P12" s="174">
        <f>P7*[1]Protect!$B$15</f>
        <v>4</v>
      </c>
      <c r="Q12" s="174">
        <f>Q7*[1]Protect!$B$15</f>
        <v>4</v>
      </c>
      <c r="R12" s="174">
        <f>R7*[1]Protect!$B$15</f>
        <v>4</v>
      </c>
      <c r="S12" s="174">
        <f>S7*[1]Protect!$B$15</f>
        <v>4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1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1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0</v>
      </c>
      <c r="T25" s="174">
        <f t="shared" si="22"/>
        <v>1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0</v>
      </c>
      <c r="T29" s="174">
        <f>T25*[1]Protect!$B$12</f>
        <v>2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3</v>
      </c>
      <c r="T32" s="174">
        <f t="shared" si="27"/>
        <v>5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5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0</v>
      </c>
      <c r="T36" s="170">
        <f t="shared" si="29"/>
        <v>1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0</v>
      </c>
      <c r="T39" s="62">
        <f t="shared" si="32"/>
        <v>1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1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4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1</v>
      </c>
      <c r="G123" s="30">
        <f>CdTrp2!F76</f>
        <v>1</v>
      </c>
      <c r="H123" s="30">
        <f>CdTrp2!G76</f>
        <v>1</v>
      </c>
      <c r="I123" s="30">
        <f>CdTrp2!H76</f>
        <v>1</v>
      </c>
      <c r="J123" s="30">
        <f>CdTrp2!I76</f>
        <v>1</v>
      </c>
      <c r="K123" s="30">
        <f>CdTrp2!J76</f>
        <v>4</v>
      </c>
      <c r="L123" s="30">
        <f>CdTrp2!K76</f>
        <v>4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4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4</v>
      </c>
      <c r="L124" s="30">
        <f>CdTrp2!K77</f>
        <v>4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2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1</v>
      </c>
      <c r="O181" s="170">
        <f>IF(Troupeau!$B$3="OL",Protection!O19+O21,0)</f>
        <v>1</v>
      </c>
      <c r="P181" s="170">
        <f>IF(Troupeau!$B$3="OL",Protection!P19+P21,0)</f>
        <v>1</v>
      </c>
      <c r="Q181" s="170">
        <f>IF(Troupeau!$B$3="OL",Protection!Q19+Q21,0)</f>
        <v>1</v>
      </c>
      <c r="R181" s="170">
        <f>IF(Troupeau!$B$3="OL",Protection!R19+R21,0)</f>
        <v>1</v>
      </c>
      <c r="S181" s="170">
        <f>IF(Troupeau!$B$3="OL",Protection!S19+S21,0)</f>
        <v>1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1</v>
      </c>
      <c r="O196" s="170">
        <f t="shared" si="49"/>
        <v>1</v>
      </c>
      <c r="P196" s="170">
        <f t="shared" si="49"/>
        <v>1</v>
      </c>
      <c r="Q196" s="170">
        <f t="shared" si="49"/>
        <v>1</v>
      </c>
      <c r="R196" s="170">
        <f t="shared" si="49"/>
        <v>1</v>
      </c>
      <c r="S196" s="170">
        <f t="shared" si="49"/>
        <v>1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4</v>
      </c>
      <c r="O202" s="170">
        <f>IF(Troupeau!$B$3="OL",O10+O12,0)</f>
        <v>4</v>
      </c>
      <c r="P202" s="170">
        <f>IF(Troupeau!$B$3="OL",P10+P12,0)</f>
        <v>4</v>
      </c>
      <c r="Q202" s="170">
        <f>IF(Troupeau!$B$3="OL",Q10+Q12,0)</f>
        <v>4</v>
      </c>
      <c r="R202" s="170">
        <f>IF(Troupeau!$B$3="OL",R10+R12,0)</f>
        <v>4</v>
      </c>
      <c r="S202" s="170">
        <f>IF(Troupeau!$B$3="OL",S10+S12,0)</f>
        <v>4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4</v>
      </c>
      <c r="O213" s="170">
        <f t="shared" si="51"/>
        <v>4</v>
      </c>
      <c r="P213" s="170">
        <f t="shared" si="51"/>
        <v>4</v>
      </c>
      <c r="Q213" s="170">
        <f t="shared" si="51"/>
        <v>4</v>
      </c>
      <c r="R213" s="170">
        <f t="shared" si="51"/>
        <v>4</v>
      </c>
      <c r="S213" s="170">
        <f t="shared" si="51"/>
        <v>4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490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14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115.5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24.5</v>
      </c>
      <c r="K6" s="170">
        <f t="shared" si="2"/>
        <v>15.75</v>
      </c>
      <c r="L6" s="170">
        <f t="shared" si="2"/>
        <v>15.75</v>
      </c>
      <c r="M6" s="170">
        <f t="shared" si="2"/>
        <v>15.75</v>
      </c>
      <c r="N6" s="170">
        <f t="shared" si="2"/>
        <v>15.75</v>
      </c>
      <c r="O6" s="170">
        <f t="shared" si="2"/>
        <v>0</v>
      </c>
      <c r="P6" s="170">
        <f t="shared" si="2"/>
        <v>0</v>
      </c>
      <c r="Q6" s="170">
        <f t="shared" si="2"/>
        <v>8.75</v>
      </c>
      <c r="R6" s="170">
        <f t="shared" si="2"/>
        <v>8.75</v>
      </c>
      <c r="S6" s="170">
        <f t="shared" si="2"/>
        <v>8.75</v>
      </c>
      <c r="T6" s="170">
        <f t="shared" si="2"/>
        <v>8.75</v>
      </c>
      <c r="U6" s="170">
        <f t="shared" si="2"/>
        <v>8.75</v>
      </c>
      <c r="V6" s="170">
        <f t="shared" si="2"/>
        <v>8.75</v>
      </c>
      <c r="W6" s="170">
        <f t="shared" si="2"/>
        <v>0</v>
      </c>
      <c r="X6" s="170">
        <f t="shared" si="2"/>
        <v>3.5</v>
      </c>
      <c r="Y6" s="170">
        <f t="shared" si="2"/>
        <v>8.75</v>
      </c>
      <c r="Z6" s="170">
        <f t="shared" si="2"/>
        <v>8.75</v>
      </c>
      <c r="AA6" s="170">
        <f t="shared" si="2"/>
        <v>8.75</v>
      </c>
      <c r="AB6" s="170">
        <f t="shared" si="2"/>
        <v>8.75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835.5765714285717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50.694857142857146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1833.0765714285717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124.98914285714287</v>
      </c>
      <c r="K13" s="30">
        <f t="shared" si="8"/>
        <v>116.17957142857142</v>
      </c>
      <c r="L13" s="30">
        <f t="shared" si="8"/>
        <v>116.12</v>
      </c>
      <c r="M13" s="30">
        <f t="shared" si="8"/>
        <v>116.06042857142857</v>
      </c>
      <c r="N13" s="30">
        <f t="shared" si="8"/>
        <v>116.02071428571429</v>
      </c>
      <c r="O13" s="30">
        <f t="shared" si="8"/>
        <v>79.230999999999995</v>
      </c>
      <c r="P13" s="30">
        <f t="shared" si="8"/>
        <v>79.191285714285712</v>
      </c>
      <c r="Q13" s="30">
        <f t="shared" si="8"/>
        <v>73.444857142857146</v>
      </c>
      <c r="R13" s="30">
        <f t="shared" si="8"/>
        <v>8.75</v>
      </c>
      <c r="S13" s="30">
        <f t="shared" si="8"/>
        <v>8.75</v>
      </c>
      <c r="T13" s="30">
        <f t="shared" si="8"/>
        <v>8.75</v>
      </c>
      <c r="U13" s="30">
        <f t="shared" si="8"/>
        <v>8.75</v>
      </c>
      <c r="V13" s="30">
        <f t="shared" si="8"/>
        <v>8.75</v>
      </c>
      <c r="W13" s="30">
        <f t="shared" si="8"/>
        <v>0</v>
      </c>
      <c r="X13" s="30">
        <f t="shared" si="8"/>
        <v>67.698428571428565</v>
      </c>
      <c r="Y13" s="30">
        <f t="shared" si="8"/>
        <v>72.948428571428565</v>
      </c>
      <c r="Z13" s="30">
        <f t="shared" si="8"/>
        <v>72.948428571428565</v>
      </c>
      <c r="AA13" s="30">
        <f t="shared" si="8"/>
        <v>72.948428571428565</v>
      </c>
      <c r="AB13" s="30">
        <f t="shared" si="8"/>
        <v>86.948428571428565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3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1</v>
      </c>
      <c r="CF48" s="170">
        <f>IF(CdTrp2!F76=1,1,IF(CdTrp2!F76=2,2,IF(CdTrp2!F76=3,2,0)))</f>
        <v>1</v>
      </c>
      <c r="CG48" s="170">
        <f>IF(CdTrp2!G76=1,1,IF(CdTrp2!G76=2,2,IF(CdTrp2!G76=3,2,0)))</f>
        <v>1</v>
      </c>
      <c r="CH48" s="170">
        <f>IF(CdTrp2!H76=1,1,IF(CdTrp2!H76=2,2,IF(CdTrp2!H76=3,2,0)))</f>
        <v>1</v>
      </c>
      <c r="CI48" s="170">
        <f>IF(CdTrp2!I76=1,1,IF(CdTrp2!I76=2,2,IF(CdTrp2!I76=3,2,0)))</f>
        <v>1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1</v>
      </c>
      <c r="CM48" s="170">
        <f>IF(CdTrp2!M76=1,1,IF(CdTrp2!M76=2,2,IF(CdTrp2!M76=3,2,0)))</f>
        <v>1</v>
      </c>
      <c r="CN48" s="170">
        <f>IF(CdTrp2!N76=1,1,IF(CdTrp2!N76=2,2,IF(CdTrp2!N76=3,2,0)))</f>
        <v>1</v>
      </c>
      <c r="CO48" s="170">
        <f>IF(CdTrp2!O76=1,1,IF(CdTrp2!O76=2,2,IF(CdTrp2!O76=3,2,0)))</f>
        <v>1</v>
      </c>
      <c r="CP48" s="170">
        <f>IF(CdTrp2!P76=1,1,IF(CdTrp2!P76=2,2,IF(CdTrp2!P76=3,2,0)))</f>
        <v>1</v>
      </c>
      <c r="CQ48" s="170">
        <f>IF(CdTrp2!Q76=1,1,IF(CdTrp2!Q76=2,2,IF(CdTrp2!Q76=3,2,0)))</f>
        <v>1</v>
      </c>
      <c r="CR48" s="170">
        <f>IF(CdTrp2!R76=1,1,IF(CdTrp2!R76=2,2,IF(CdTrp2!R76=3,2,0)))</f>
        <v>0</v>
      </c>
      <c r="CS48" s="170">
        <f>IF(CdTrp2!S76=1,1,IF(CdTrp2!S76=2,2,IF(CdTrp2!S76=3,2,0)))</f>
        <v>1</v>
      </c>
      <c r="CT48" s="170">
        <f>IF(CdTrp2!T76=1,1,IF(CdTrp2!T76=2,2,IF(CdTrp2!T76=3,2,0)))</f>
        <v>1</v>
      </c>
      <c r="CU48" s="170">
        <f>IF(CdTrp2!U76=1,1,IF(CdTrp2!U76=2,2,IF(CdTrp2!U76=3,2,0)))</f>
        <v>1</v>
      </c>
      <c r="CV48" s="170">
        <f>IF(CdTrp2!V76=1,1,IF(CdTrp2!V76=2,2,IF(CdTrp2!V76=3,2,0)))</f>
        <v>1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2</v>
      </c>
      <c r="CG49" s="170">
        <f>IF(CdTrp2!G77=1,1,IF(CdTrp2!G77=2,2,IF(CdTrp2!G77=3,2,0)))</f>
        <v>2</v>
      </c>
      <c r="CH49" s="170">
        <f>IF(CdTrp2!H77=1,1,IF(CdTrp2!H77=2,2,IF(CdTrp2!H77=3,2,0)))</f>
        <v>2</v>
      </c>
      <c r="CI49" s="170">
        <f>IF(CdTrp2!I77=1,1,IF(CdTrp2!I77=2,2,IF(CdTrp2!I77=3,2,0)))</f>
        <v>2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2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19.200000000000003</v>
      </c>
      <c r="C55" s="185">
        <f>IF(B55&gt;[1]Trav!E121,[1]Trav!C121,[1]Trav!B121)</f>
        <v>7.2</v>
      </c>
      <c r="D55"/>
      <c r="E55" s="169"/>
      <c r="F55" s="170">
        <f t="shared" si="32"/>
        <v>138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10.8</v>
      </c>
      <c r="C56" s="185">
        <f>IF(B56&gt;[1]Trav!E121,[1]Trav!C121,[1]Trav!B121)</f>
        <v>7.2</v>
      </c>
      <c r="D56"/>
      <c r="E56" s="169"/>
      <c r="F56" s="170">
        <f t="shared" si="32"/>
        <v>78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4.7999999999999972</v>
      </c>
      <c r="C58" s="185">
        <f>IF(B58&gt;[1]Trav!E122,[1]Trav!C122,[1]Trav!B122)</f>
        <v>4.4000000000000004</v>
      </c>
      <c r="E58" s="169"/>
      <c r="F58" s="170">
        <f t="shared" si="32"/>
        <v>21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221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221</v>
      </c>
      <c r="CH60" s="170">
        <f>IF(CH15=0,0,IF(CH37=3,0,VALUE(CONCATENATE(Travail!CH26,Travail!CH37,Travail!CH48))))</f>
        <v>221</v>
      </c>
      <c r="CI60" s="170">
        <f>IF(CI15=0,0,IF(CI37=3,0,VALUE(CONCATENATE(Travail!CI26,Travail!CI37,Travail!CI48))))</f>
        <v>221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211</v>
      </c>
      <c r="CM60" s="170">
        <f>IF(CM15=0,0,IF(CM37=3,0,VALUE(CONCATENATE(Travail!CM26,Travail!CM37,Travail!CM48))))</f>
        <v>211</v>
      </c>
      <c r="CN60" s="170">
        <f>IF(CN15=0,0,IF(CN37=3,0,VALUE(CONCATENATE(Travail!CN26,Travail!CN37,Travail!CN48))))</f>
        <v>211</v>
      </c>
      <c r="CO60" s="170">
        <f>IF(CO15=0,0,IF(CO37=3,0,VALUE(CONCATENATE(Travail!CO26,Travail!CO37,Travail!CO48))))</f>
        <v>211</v>
      </c>
      <c r="CP60" s="170">
        <f>IF(CP15=0,0,IF(CP37=3,0,VALUE(CONCATENATE(Travail!CP26,Travail!CP37,Travail!CP48))))</f>
        <v>211</v>
      </c>
      <c r="CQ60" s="170">
        <f>IF(CQ15=0,0,IF(CQ37=3,0,VALUE(CONCATENATE(Travail!CQ26,Travail!CQ37,Travail!CQ48))))</f>
        <v>211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211</v>
      </c>
      <c r="CT60" s="170">
        <f>IF(CT15=0,0,IF(CT37=3,0,VALUE(CONCATENATE(Travail!CT26,Travail!CT37,Travail!CT48))))</f>
        <v>211</v>
      </c>
      <c r="CU60" s="170">
        <f>IF(CU15=0,0,IF(CU37=3,0,VALUE(CONCATENATE(Travail!CU26,Travail!CU37,Travail!CU48))))</f>
        <v>211</v>
      </c>
      <c r="CV60" s="170">
        <f>IF(CV15=0,0,IF(CV37=3,0,VALUE(CONCATENATE(Travail!CV26,Travail!CV37,Travail!CV48))))</f>
        <v>211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112</v>
      </c>
      <c r="CG61" s="170">
        <f>IF(CG16=0,0,IF(CG38=3,0,VALUE(CONCATENATE(Travail!CG27,Travail!CG38,Travail!CG49))))</f>
        <v>112</v>
      </c>
      <c r="CH61" s="170">
        <f>IF(CH16=0,0,IF(CH38=3,0,VALUE(CONCATENATE(Travail!CH27,Travail!CH38,Travail!CH49))))</f>
        <v>112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112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0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210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:F73" si="39">ROUND(SUM(G72:AD72),0)</f>
        <v>170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23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21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254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1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1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0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0.83333333333333326</v>
      </c>
      <c r="C86" s="173"/>
      <c r="D86" s="173"/>
      <c r="E86" s="173"/>
      <c r="F86" s="170">
        <f>B86*[1]Eco!$B$108*[1]Eco!$B$109</f>
        <v>199.99999999999997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42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0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0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1325.5765714285717</v>
      </c>
      <c r="C91" s="5"/>
      <c r="D91" s="198">
        <f>B91/Troupeau!$B$17</f>
        <v>4.7682610483042147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430.5</v>
      </c>
      <c r="C92" s="5"/>
      <c r="D92" s="198">
        <f>IF(B92=0,0,B92/Troupeau!$C$17)</f>
        <v>21.524999999999999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1756.0765714285717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234.66666666666666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0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0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50.694857142857146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0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10.5</v>
      </c>
      <c r="CF106" s="185">
        <f>IF(CF60&gt;0,HLOOKUP(CF60,[1]Trav!$C$11:$O$31,$CA$105),0)</f>
        <v>10.5</v>
      </c>
      <c r="CG106" s="185">
        <f>IF(CG60&gt;0,HLOOKUP(CG60,[1]Trav!$C$11:$O$31,$CA$105),0)</f>
        <v>10.5</v>
      </c>
      <c r="CH106" s="185">
        <f>IF(CH60&gt;0,HLOOKUP(CH60,[1]Trav!$C$11:$O$31,$CA$105),0)</f>
        <v>10.5</v>
      </c>
      <c r="CI106" s="185">
        <f>IF(CI60&gt;0,HLOOKUP(CI60,[1]Trav!$C$11:$O$31,$CA$105),0)</f>
        <v>10.5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3.5</v>
      </c>
      <c r="CM106" s="185">
        <f>IF(CM60&gt;0,HLOOKUP(CM60,[1]Trav!$C$11:$O$31,$CA$105),0)</f>
        <v>3.5</v>
      </c>
      <c r="CN106" s="185">
        <f>IF(CN60&gt;0,HLOOKUP(CN60,[1]Trav!$C$11:$O$31,$CA$105),0)</f>
        <v>3.5</v>
      </c>
      <c r="CO106" s="185">
        <f>IF(CO60&gt;0,HLOOKUP(CO60,[1]Trav!$C$11:$O$31,$CA$105),0)</f>
        <v>3.5</v>
      </c>
      <c r="CP106" s="185">
        <f>IF(CP60&gt;0,HLOOKUP(CP60,[1]Trav!$C$11:$O$31,$CA$105),0)</f>
        <v>3.5</v>
      </c>
      <c r="CQ106" s="185">
        <f>IF(CQ60&gt;0,HLOOKUP(CQ60,[1]Trav!$C$11:$O$31,$CA$105),0)</f>
        <v>3.5</v>
      </c>
      <c r="CR106" s="185">
        <f>IF(CR60&gt;0,HLOOKUP(CR60,[1]Trav!$C$11:$O$31,$CA$105),0)</f>
        <v>0</v>
      </c>
      <c r="CS106" s="185">
        <f>IF(CS60&gt;0,HLOOKUP(CS60,[1]Trav!$C$11:$O$31,$CA$105),0)</f>
        <v>3.5</v>
      </c>
      <c r="CT106" s="185">
        <f>IF(CT60&gt;0,HLOOKUP(CT60,[1]Trav!$C$11:$O$31,$CA$105),0)</f>
        <v>3.5</v>
      </c>
      <c r="CU106" s="185">
        <f>IF(CU60&gt;0,HLOOKUP(CU60,[1]Trav!$C$11:$O$31,$CA$105),0)</f>
        <v>3.5</v>
      </c>
      <c r="CV106" s="185">
        <f>IF(CV60&gt;0,HLOOKUP(CV60,[1]Trav!$C$11:$O$31,$CA$105),0)</f>
        <v>3.5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5.25</v>
      </c>
      <c r="CG107" s="185">
        <f>IF(CG61&gt;0,HLOOKUP(CG61,[1]Trav!$C$11:$O$31,$CA$105),0)</f>
        <v>5.25</v>
      </c>
      <c r="CH107" s="185">
        <f>IF(CH61&gt;0,HLOOKUP(CH61,[1]Trav!$C$11:$O$31,$CA$105),0)</f>
        <v>5.25</v>
      </c>
      <c r="CI107" s="185">
        <f>IF(CI61&gt;0,HLOOKUP(CI61,[1]Trav!$C$11:$O$31,$CA$105),0)</f>
        <v>5.25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5.25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306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170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0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170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21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199.99999999999997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14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24.5</v>
      </c>
      <c r="CF117" s="170">
        <f t="shared" si="84"/>
        <v>15.75</v>
      </c>
      <c r="CG117" s="170">
        <f t="shared" si="84"/>
        <v>15.75</v>
      </c>
      <c r="CH117" s="170">
        <f t="shared" si="84"/>
        <v>15.75</v>
      </c>
      <c r="CI117" s="170">
        <f t="shared" si="84"/>
        <v>15.75</v>
      </c>
      <c r="CJ117" s="170">
        <f t="shared" si="84"/>
        <v>0</v>
      </c>
      <c r="CK117" s="170">
        <f t="shared" si="84"/>
        <v>0</v>
      </c>
      <c r="CL117" s="170">
        <f t="shared" si="84"/>
        <v>8.75</v>
      </c>
      <c r="CM117" s="170">
        <f t="shared" si="84"/>
        <v>8.75</v>
      </c>
      <c r="CN117" s="170">
        <f t="shared" si="84"/>
        <v>8.75</v>
      </c>
      <c r="CO117" s="170">
        <f t="shared" si="84"/>
        <v>8.75</v>
      </c>
      <c r="CP117" s="170">
        <f t="shared" si="84"/>
        <v>8.75</v>
      </c>
      <c r="CQ117" s="170">
        <f t="shared" si="84"/>
        <v>8.75</v>
      </c>
      <c r="CR117" s="170">
        <f t="shared" si="84"/>
        <v>0</v>
      </c>
      <c r="CS117" s="170">
        <f t="shared" si="84"/>
        <v>3.5</v>
      </c>
      <c r="CT117" s="170">
        <f t="shared" si="84"/>
        <v>8.75</v>
      </c>
      <c r="CU117" s="170">
        <f t="shared" si="84"/>
        <v>8.75</v>
      </c>
      <c r="CV117" s="170">
        <f t="shared" si="84"/>
        <v>8.75</v>
      </c>
      <c r="CW117" s="170">
        <f t="shared" si="84"/>
        <v>8.75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4159.7432380952387</v>
      </c>
      <c r="D118" s="198">
        <f>B118/Troupeau!$B$17</f>
        <v>14.963105173004456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568.5</v>
      </c>
      <c r="D119" s="198">
        <f>IF(B119=0,0,B119/Troupeau!$C$17)</f>
        <v>28.425000000000001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4728.2432380952387</v>
      </c>
    </row>
    <row r="123" spans="1:132" x14ac:dyDescent="0.25">
      <c r="A123" s="2" t="s">
        <v>892</v>
      </c>
      <c r="B123" s="30">
        <f>B108</f>
        <v>306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191</v>
      </c>
    </row>
    <row r="126" spans="1:132" x14ac:dyDescent="0.25">
      <c r="A126" s="2" t="s">
        <v>908</v>
      </c>
      <c r="B126" s="30">
        <f>B114+B115+B116</f>
        <v>224.79999999999998</v>
      </c>
    </row>
    <row r="128" spans="1:132" x14ac:dyDescent="0.25">
      <c r="A128" s="2" t="s">
        <v>909</v>
      </c>
      <c r="B128" s="197">
        <f>SUM(B122:B126)</f>
        <v>6050.0432380952388</v>
      </c>
    </row>
    <row r="129" spans="1:2" x14ac:dyDescent="0.25">
      <c r="A129" s="2" t="s">
        <v>910</v>
      </c>
      <c r="B129" s="30">
        <f>IF(Scénario!K129=1,Travail!F77+Travail!F86,F86)</f>
        <v>454</v>
      </c>
    </row>
    <row r="130" spans="1:2" x14ac:dyDescent="0.25">
      <c r="A130" s="2" t="s">
        <v>911</v>
      </c>
      <c r="B130" s="197">
        <f>ROUND((B128-B129)/(Scénario!K4+Scénario!K6),0)</f>
        <v>2798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abSelected="1" topLeftCell="J245" zoomScale="90" zoomScaleNormal="90" workbookViewId="0">
      <selection activeCell="X264" sqref="X264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97.25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97.25</v>
      </c>
      <c r="AA39" s="14" t="s">
        <v>1015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1442</v>
      </c>
      <c r="AJ40" s="278">
        <f>IF(AJ36&lt;=AJ38,100,IF(AJ36&lt;=AJ39,90,0))</f>
        <v>100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97.25</v>
      </c>
      <c r="C42" s="211">
        <f>[1]Eco!$B$24</f>
        <v>97</v>
      </c>
      <c r="J42" s="170">
        <f>B42*C42</f>
        <v>9433.25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97.25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6515.75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1026</v>
      </c>
      <c r="V45" s="170">
        <f>S55</f>
        <v>68.149999999999991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5122.4000000000005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97.25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147562.79999999999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1</v>
      </c>
      <c r="CF48" s="213">
        <f>IF(CdTrp2!F76=1,1,IF(CdTrp2!F76=2,2,IF(CdTrp2!F76=3,2,0)))</f>
        <v>1</v>
      </c>
      <c r="CG48" s="213">
        <f>IF(CdTrp2!G76=1,1,IF(CdTrp2!G76=2,2,IF(CdTrp2!G76=3,2,0)))</f>
        <v>1</v>
      </c>
      <c r="CH48" s="213">
        <f>IF(CdTrp2!H76=1,1,IF(CdTrp2!H76=2,2,IF(CdTrp2!H76=3,2,0)))</f>
        <v>1</v>
      </c>
      <c r="CI48" s="213">
        <f>IF(CdTrp2!I76=1,1,IF(CdTrp2!I76=2,2,IF(CdTrp2!I76=3,2,0)))</f>
        <v>1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1</v>
      </c>
      <c r="CM48" s="213">
        <f>IF(CdTrp2!M76=1,1,IF(CdTrp2!M76=2,2,IF(CdTrp2!M76=3,2,0)))</f>
        <v>1</v>
      </c>
      <c r="CN48" s="213">
        <f>IF(CdTrp2!N76=1,1,IF(CdTrp2!N76=2,2,IF(CdTrp2!N76=3,2,0)))</f>
        <v>1</v>
      </c>
      <c r="CO48" s="213">
        <f>IF(CdTrp2!O76=1,1,IF(CdTrp2!O76=2,2,IF(CdTrp2!O76=3,2,0)))</f>
        <v>1</v>
      </c>
      <c r="CP48" s="213">
        <f>IF(CdTrp2!P76=1,1,IF(CdTrp2!P76=2,2,IF(CdTrp2!P76=3,2,0)))</f>
        <v>1</v>
      </c>
      <c r="CQ48" s="213">
        <f>IF(CdTrp2!Q76=1,1,IF(CdTrp2!Q76=2,2,IF(CdTrp2!Q76=3,2,0)))</f>
        <v>1</v>
      </c>
      <c r="CR48" s="213">
        <f>IF(CdTrp2!R76=1,1,IF(CdTrp2!R76=2,2,IF(CdTrp2!R76=3,2,0)))</f>
        <v>0</v>
      </c>
      <c r="CS48" s="213">
        <f>IF(CdTrp2!S76=1,1,IF(CdTrp2!S76=2,2,IF(CdTrp2!S76=3,2,0)))</f>
        <v>1</v>
      </c>
      <c r="CT48" s="213">
        <f>IF(CdTrp2!T76=1,1,IF(CdTrp2!T76=2,2,IF(CdTrp2!T76=3,2,0)))</f>
        <v>1</v>
      </c>
      <c r="CU48" s="213">
        <f>IF(CdTrp2!U76=1,1,IF(CdTrp2!U76=2,2,IF(CdTrp2!U76=3,2,0)))</f>
        <v>1</v>
      </c>
      <c r="CV48" s="213">
        <f>IF(CdTrp2!V76=1,1,IF(CdTrp2!V76=2,2,IF(CdTrp2!V76=3,2,0)))</f>
        <v>1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2</v>
      </c>
      <c r="CG49" s="213">
        <f>IF(CdTrp2!G77=1,1,IF(CdTrp2!G77=2,2,IF(CdTrp2!G77=3,2,0)))</f>
        <v>2</v>
      </c>
      <c r="CH49" s="213">
        <f>IF(CdTrp2!H77=1,1,IF(CdTrp2!H77=2,2,IF(CdTrp2!H77=3,2,0)))</f>
        <v>2</v>
      </c>
      <c r="CI49" s="213">
        <f>IF(CdTrp2!I77=1,1,IF(CdTrp2!I77=2,2,IF(CdTrp2!I77=3,2,0)))</f>
        <v>2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2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105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40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145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68.149999999999991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55.166666666666671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71.435999999999979</v>
      </c>
      <c r="C118" s="185">
        <f>IF(Scénario!$K$12="BV",[1]Eco!$B$78,IF(Scénario!$K$12="BL",[1]Eco!$B$77,[1]Eco!$B$76))</f>
        <v>223</v>
      </c>
      <c r="J118" s="170">
        <f>B118*C118</f>
        <v>15930.227999999996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38.116</v>
      </c>
      <c r="C119" s="185">
        <f>[1]Eco!$B$79</f>
        <v>80</v>
      </c>
      <c r="J119" s="170">
        <f>B119*C119</f>
        <v>3049.2799999999997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4.5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202.5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13.2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798.73199999999997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10.8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731.7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610.62666666666667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55441.866666666654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24</v>
      </c>
      <c r="X153" t="s">
        <v>51</v>
      </c>
      <c r="Y153" s="170">
        <f>W153-Scénario!K28</f>
        <v>-4.5</v>
      </c>
      <c r="Z153" s="170">
        <f>Y153-Y156</f>
        <v>-3.6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10.8</v>
      </c>
      <c r="X154" t="s">
        <v>51</v>
      </c>
      <c r="Y154" s="170">
        <f>W154-Scénario!K29</f>
        <v>-7.6999999999999993</v>
      </c>
      <c r="Z154" s="170">
        <f>Y154</f>
        <v>-7.6999999999999993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-0.9</v>
      </c>
      <c r="Z156" s="170">
        <f t="shared" si="68"/>
        <v>-0.9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-3.6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-130.32000000000002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-7.6999999999999993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-230.99999999999997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-0.9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-139.86000000000001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199.99999999999997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2126</v>
      </c>
      <c r="K166" s="170"/>
      <c r="L166" s="170"/>
      <c r="M166" s="170"/>
      <c r="N166" s="170"/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4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4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257.8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2740.4140000000002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55083.333999999995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37037.599333333339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18519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2642.2071309577123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23395.392202375628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11698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72"/>
        <v>6.8</v>
      </c>
      <c r="V188" s="170">
        <f t="shared" si="73"/>
        <v>6.8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6.8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6.8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0.5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0.5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72"/>
        <v>3.2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3.2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3.2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24</v>
      </c>
      <c r="V228" s="62">
        <f t="shared" ref="V228:W228" si="84">SUM(V164:V227)</f>
        <v>10.8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4.5</v>
      </c>
      <c r="AI228" s="62">
        <f t="shared" si="86"/>
        <v>13.2</v>
      </c>
      <c r="AJ228" s="62">
        <f t="shared" si="86"/>
        <v>10.8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6044</v>
      </c>
      <c r="U234" t="s">
        <v>1140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0.33333333333333331</v>
      </c>
      <c r="W235" s="170">
        <f>[1]Protect!$B$83</f>
        <v>2000</v>
      </c>
      <c r="X235" s="170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36930.666666666664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21430.666666666664</v>
      </c>
      <c r="AB237" s="30">
        <f>(Scénario!K127/100)*AA237</f>
        <v>0</v>
      </c>
      <c r="AC237" s="30">
        <f>AA237-AB237</f>
        <v>21430.666666666664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2642.2071309577123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0.83333333333333326</v>
      </c>
      <c r="W246" s="170">
        <f>[1]Eco!$B$106*[1]Eco!$B$108*[1]Eco!$B$109</f>
        <v>2551.2000000000003</v>
      </c>
      <c r="X246" s="170">
        <f>T246*W246</f>
        <v>2126</v>
      </c>
    </row>
    <row r="247" spans="17:31" x14ac:dyDescent="0.25">
      <c r="S247" s="14" t="s">
        <v>1155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1156</v>
      </c>
      <c r="X248" s="170">
        <f>SUM(X245:X247)</f>
        <v>6403.333333333333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6403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840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0</v>
      </c>
      <c r="U256" s="170">
        <f>IF(T256=0,0,[1]Protect!$B76)</f>
        <v>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0</v>
      </c>
      <c r="U257" s="170">
        <f>IF(T257=0,0,[1]Protect!$B77)</f>
        <v>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1</v>
      </c>
      <c r="U258" s="170">
        <f>IF(T258=0,0,[1]Protect!$B78)</f>
        <v>20000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5122.4000000000005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5122.4000000000005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5122.4000000000005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0.66666666666666663</v>
      </c>
      <c r="U274" s="170"/>
      <c r="V274" s="170"/>
      <c r="W274" s="170">
        <f>W271</f>
        <v>100</v>
      </c>
      <c r="X274" s="170">
        <f>T274*W274</f>
        <v>66.666666666666657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Z2_OLBV_T3_MC2s2</v>
      </c>
      <c r="D1" s="253" t="str">
        <f>CONCATENATE(C1,"_corr")</f>
        <v>Z2_OLBV_T3_MC2s2_corr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575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576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1</v>
      </c>
      <c r="D27" s="174">
        <f t="shared" si="0"/>
        <v>1</v>
      </c>
    </row>
    <row r="28" spans="2:5" x14ac:dyDescent="0.25">
      <c r="B28" s="14" t="s">
        <v>584</v>
      </c>
      <c r="C28" s="174">
        <f>Scénario!K59</f>
        <v>1</v>
      </c>
      <c r="D28" s="174">
        <f t="shared" si="0"/>
        <v>1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591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612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2</v>
      </c>
      <c r="D51" s="174">
        <f t="shared" si="0"/>
        <v>2</v>
      </c>
      <c r="E51" s="14"/>
    </row>
    <row r="52" spans="1:132" x14ac:dyDescent="0.25">
      <c r="B52" s="19" t="s">
        <v>605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1</v>
      </c>
      <c r="D54" s="174">
        <f t="shared" si="0"/>
        <v>1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1</v>
      </c>
      <c r="D59" s="174">
        <f t="shared" si="0"/>
        <v>1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24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10.8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4.8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3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1</v>
      </c>
      <c r="L105" s="30">
        <f>CdTrp2!F76</f>
        <v>1</v>
      </c>
      <c r="M105" s="30">
        <f>CdTrp2!G76</f>
        <v>1</v>
      </c>
      <c r="N105" s="30">
        <f>CdTrp2!H76</f>
        <v>1</v>
      </c>
      <c r="O105" s="30">
        <f>CdTrp2!I76</f>
        <v>1</v>
      </c>
      <c r="P105" s="30">
        <f>CdTrp2!J76</f>
        <v>4</v>
      </c>
      <c r="Q105" s="30">
        <f>CdTrp2!K76</f>
        <v>4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4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4</v>
      </c>
      <c r="Q106" s="30">
        <f>CdTrp2!K77</f>
        <v>4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2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1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1</v>
      </c>
      <c r="CH109" s="170">
        <f>IF(CdTrp2!H76=1,1,IF(CdTrp2!H76=2,2,IF(CdTrp2!H76=3,2,IF(CdTrp2!H76=4,4,0))))</f>
        <v>1</v>
      </c>
      <c r="CI109" s="170">
        <f>IF(CdTrp2!I76=1,1,IF(CdTrp2!I76=2,2,IF(CdTrp2!I76=3,2,IF(CdTrp2!I76=4,4,0))))</f>
        <v>1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1</v>
      </c>
      <c r="CM109" s="170">
        <f>IF(CdTrp2!M76=1,1,IF(CdTrp2!M76=2,2,IF(CdTrp2!M76=3,2,IF(CdTrp2!M76=4,4,0))))</f>
        <v>1</v>
      </c>
      <c r="CN109" s="170">
        <f>IF(CdTrp2!N76=1,1,IF(CdTrp2!N76=2,2,IF(CdTrp2!N76=3,2,IF(CdTrp2!N76=4,4,0))))</f>
        <v>1</v>
      </c>
      <c r="CO109" s="170">
        <f>IF(CdTrp2!O76=1,1,IF(CdTrp2!O76=2,2,IF(CdTrp2!O76=3,2,IF(CdTrp2!O76=4,4,0))))</f>
        <v>1</v>
      </c>
      <c r="CP109" s="170">
        <f>IF(CdTrp2!P76=1,1,IF(CdTrp2!P76=2,2,IF(CdTrp2!P76=3,2,IF(CdTrp2!P76=4,4,0))))</f>
        <v>1</v>
      </c>
      <c r="CQ109" s="170">
        <f>IF(CdTrp2!Q76=1,1,IF(CdTrp2!Q76=2,2,IF(CdTrp2!Q76=3,2,IF(CdTrp2!Q76=4,4,0))))</f>
        <v>1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1</v>
      </c>
      <c r="CT109" s="170">
        <f>IF(CdTrp2!T76=1,1,IF(CdTrp2!T76=2,2,IF(CdTrp2!T76=3,2,IF(CdTrp2!T76=4,4,0))))</f>
        <v>1</v>
      </c>
      <c r="CU109" s="170">
        <f>IF(CdTrp2!U76=1,1,IF(CdTrp2!U76=2,2,IF(CdTrp2!U76=3,2,IF(CdTrp2!U76=4,4,0))))</f>
        <v>1</v>
      </c>
      <c r="CV109" s="170">
        <f>IF(CdTrp2!V76=1,1,IF(CdTrp2!V76=2,2,IF(CdTrp2!V76=3,2,IF(CdTrp2!V76=4,4,0))))</f>
        <v>1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15</v>
      </c>
      <c r="D110" s="170">
        <f t="shared" si="25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2</v>
      </c>
      <c r="CG110" s="170">
        <f>IF(CdTrp2!G77=1,1,IF(CdTrp2!G77=2,2,IF(CdTrp2!G77=3,2,IF(CdTrp2!G77=4,4,0))))</f>
        <v>2</v>
      </c>
      <c r="CH110" s="170">
        <f>IF(CdTrp2!H77=1,1,IF(CdTrp2!H77=2,2,IF(CdTrp2!H77=3,2,IF(CdTrp2!H77=4,4,0))))</f>
        <v>2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2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8</v>
      </c>
      <c r="D111" s="170">
        <f t="shared" si="25"/>
        <v>8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2</v>
      </c>
      <c r="D113" s="170">
        <f t="shared" si="25"/>
        <v>2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8</v>
      </c>
      <c r="D114" s="170">
        <f t="shared" si="25"/>
        <v>8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3.5</v>
      </c>
      <c r="D120" s="170">
        <f t="shared" si="25"/>
        <v>3.5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3</v>
      </c>
      <c r="D128" s="170">
        <f t="shared" si="25"/>
        <v>3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2</v>
      </c>
      <c r="D130" s="170">
        <f t="shared" si="25"/>
        <v>2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2</v>
      </c>
      <c r="D132" s="170">
        <f t="shared" si="25"/>
        <v>2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0.88235294117647056</v>
      </c>
      <c r="D133" s="260">
        <f t="shared" si="25"/>
        <v>0.88235294117647056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0.5</v>
      </c>
      <c r="D134" s="260">
        <f t="shared" si="25"/>
        <v>0.5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0.69696969696969702</v>
      </c>
      <c r="D136" s="260">
        <f t="shared" si="25"/>
        <v>0.69696969696969702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77.97395751969384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147.35131076969898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56.593029166666653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39.934908750000005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99.313599999999994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84.373023909489802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115.864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187.29999999999998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14.940576090510191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85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-71.435999999999979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71.435999999999979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74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6044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0.33333333333333331</v>
      </c>
      <c r="D187" s="170">
        <f>C187</f>
        <v>0.33333333333333331</v>
      </c>
    </row>
    <row r="188" spans="1:132" x14ac:dyDescent="0.25">
      <c r="B188" s="14" t="s">
        <v>1347</v>
      </c>
      <c r="C188" s="170">
        <f>'Calcul éco'!T236</f>
        <v>0</v>
      </c>
      <c r="D188" s="170">
        <f t="shared" ref="D188:D189" si="101">C188</f>
        <v>0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24.999999999999996</v>
      </c>
      <c r="D190" s="170">
        <f>C190</f>
        <v>24.999999999999996</v>
      </c>
      <c r="AH190" s="15"/>
      <c r="AJ190" s="14" t="s">
        <v>1154</v>
      </c>
      <c r="AK190" s="30">
        <f>D190/30</f>
        <v>0.83333333333333326</v>
      </c>
      <c r="AN190" s="170">
        <f>[1]Eco!$B$106*[1]Eco!$B$108*[1]Eco!$B$109</f>
        <v>2551.2000000000003</v>
      </c>
      <c r="AO190" s="170">
        <f>AK190*AN190</f>
        <v>2126</v>
      </c>
    </row>
    <row r="191" spans="1:132" x14ac:dyDescent="0.25">
      <c r="B191" s="14" t="s">
        <v>1350</v>
      </c>
      <c r="C191" s="193">
        <f>ROUND(SUM(Travail!F69:F74)/8,1)</f>
        <v>21.3</v>
      </c>
      <c r="D191" s="170">
        <f>C191</f>
        <v>21.3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1354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6403.333333333333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9433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1023</v>
      </c>
      <c r="C208" s="170">
        <f>ROUND('Calcul éco'!J44,0)</f>
        <v>6516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6403.333333333333</v>
      </c>
      <c r="AQ208" s="240"/>
    </row>
    <row r="209" spans="1:43" x14ac:dyDescent="0.25">
      <c r="B209" s="19" t="s">
        <v>1025</v>
      </c>
      <c r="C209" s="170">
        <f>ROUND('Calcul éco'!J45,0)</f>
        <v>15957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5122</v>
      </c>
      <c r="D210" s="262">
        <f>ROUND(AL207,0)</f>
        <v>5000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49651.4</v>
      </c>
      <c r="D211" s="262">
        <f>ROUND(SUM(D201:D210),0)</f>
        <v>5000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1732.932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40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18979.507999999994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0.66666666666666663</v>
      </c>
      <c r="AK218" s="170"/>
      <c r="AL218" s="170"/>
      <c r="AM218" s="170">
        <f>'Calcul éco'!W274</f>
        <v>100</v>
      </c>
      <c r="AN218" s="170">
        <f>AJ218*AM218</f>
        <v>66.666666666666657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610.62666666666667</v>
      </c>
      <c r="D220" s="262">
        <f>SUM(AN215:AN219)</f>
        <v>66.666666666666657</v>
      </c>
      <c r="E220" s="17" t="s">
        <v>1392</v>
      </c>
      <c r="H220" s="14" t="s">
        <v>1036</v>
      </c>
      <c r="I220" s="30">
        <f>SUM(I216:I219)</f>
        <v>145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55442</v>
      </c>
      <c r="D221" s="262">
        <f>ROUND(SUM(D216:D220),0)</f>
        <v>67</v>
      </c>
      <c r="E221" s="17" t="s">
        <v>1392</v>
      </c>
      <c r="H221" s="14" t="s">
        <v>1037</v>
      </c>
      <c r="I221" s="30">
        <f>I220*[1]Eco!$B$25</f>
        <v>68.149999999999991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0.33333333333333331</v>
      </c>
      <c r="AN226" s="170">
        <f>[1]Protect!$B$83</f>
        <v>2000</v>
      </c>
      <c r="AO226" s="170">
        <f t="shared" ref="AO226:AO227" si="108">AK226*AN226</f>
        <v>666.66666666666663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666.66666666666663</v>
      </c>
      <c r="AQ228" s="30">
        <f>IF(Scénario!K84=1,MIN(0.8*AO228,[1]Protect!$B$68),IF(Scénario!K84=2,MIN(0.8*AO228,[1]Protect!$B$67),0))</f>
        <v>533.33333333333337</v>
      </c>
      <c r="AR228" s="30">
        <f>AO228-AQ228</f>
        <v>133.33333333333326</v>
      </c>
      <c r="AS228" s="30">
        <f>(1-Scénario!K127/100)*AR228</f>
        <v>133.33333333333326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-130.32000000000002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-230.99999999999997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-139.86000000000001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2126</v>
      </c>
      <c r="D234" s="170">
        <f>C234</f>
        <v>2126</v>
      </c>
    </row>
    <row r="235" spans="1:49" x14ac:dyDescent="0.25">
      <c r="B235" s="14" t="s">
        <v>1400</v>
      </c>
      <c r="C235" s="170">
        <f>'Calcul éco'!J167</f>
        <v>2740.4140000000002</v>
      </c>
      <c r="D235" s="262">
        <f>(D191+D192)*8*[1]Eco!$B$106</f>
        <v>1811.3520000000001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55083</v>
      </c>
      <c r="D236" s="262">
        <f>ROUND(SUM(D222:D235),0)</f>
        <v>24619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37037.399999999994</v>
      </c>
      <c r="D237" s="262">
        <f>D194+D211-D221-D236</f>
        <v>-19686</v>
      </c>
    </row>
    <row r="238" spans="1:49" x14ac:dyDescent="0.25">
      <c r="B238" s="207" t="s">
        <v>1129</v>
      </c>
      <c r="C238" s="170">
        <f>ROUND(C237/Scénario!$K$4,0)</f>
        <v>18519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2642.2071309577123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23395</v>
      </c>
      <c r="D241" s="266">
        <f>ROUND(D237-D239-D240,0)</f>
        <v>-30686</v>
      </c>
    </row>
    <row r="242" spans="1:15" x14ac:dyDescent="0.25">
      <c r="B242" s="207" t="s">
        <v>1133</v>
      </c>
      <c r="C242" s="170">
        <f>ROUND(C241/Scénario!K4,0)</f>
        <v>11698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36930.666666666664</v>
      </c>
      <c r="D243" s="170">
        <f>C243</f>
        <v>36930.666666666664</v>
      </c>
    </row>
    <row r="244" spans="1:15" x14ac:dyDescent="0.25">
      <c r="B244" s="207" t="s">
        <v>1405</v>
      </c>
      <c r="C244" s="170">
        <f>'Calcul éco'!AA237+'Calcul éco'!AA240</f>
        <v>21430.666666666664</v>
      </c>
      <c r="D244" s="170">
        <f>C244</f>
        <v>21430.666666666664</v>
      </c>
    </row>
    <row r="245" spans="1:15" x14ac:dyDescent="0.25">
      <c r="A245" s="2" t="s">
        <v>1406</v>
      </c>
      <c r="B245" s="14" t="s">
        <v>572</v>
      </c>
      <c r="C245" s="268">
        <f>Travail!F5</f>
        <v>490</v>
      </c>
      <c r="D245" s="170">
        <f>C245</f>
        <v>490</v>
      </c>
    </row>
    <row r="246" spans="1:15" x14ac:dyDescent="0.25">
      <c r="B246" s="14" t="s">
        <v>586</v>
      </c>
      <c r="C246" s="268">
        <f>Travail!F6</f>
        <v>115.5</v>
      </c>
      <c r="D246" s="170">
        <f t="shared" ref="D246:D247" si="112">C246</f>
        <v>115.5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835.5765714285717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186.66666666666666</v>
      </c>
      <c r="D251" s="170">
        <f>C251</f>
        <v>186.66666666666666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0</v>
      </c>
      <c r="D252" s="170">
        <f t="shared" ref="D252:D253" si="113">C252</f>
        <v>0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48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138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78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21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170.4</v>
      </c>
      <c r="D275" s="170">
        <f>C275</f>
        <v>170.4</v>
      </c>
    </row>
    <row r="276" spans="1:4" x14ac:dyDescent="0.25">
      <c r="A276" s="23"/>
      <c r="B276" s="32" t="s">
        <v>1416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81</v>
      </c>
      <c r="D277" s="170">
        <f>C277</f>
        <v>81</v>
      </c>
    </row>
    <row r="278" spans="1:4" x14ac:dyDescent="0.25">
      <c r="B278" s="32" t="s">
        <v>1418</v>
      </c>
      <c r="C278" s="268">
        <f>Travail!F76</f>
        <v>21</v>
      </c>
      <c r="D278" s="170">
        <f>C278</f>
        <v>21</v>
      </c>
    </row>
    <row r="279" spans="1:4" x14ac:dyDescent="0.25">
      <c r="B279" s="32" t="s">
        <v>1419</v>
      </c>
      <c r="C279" s="268">
        <f>Travail!F86</f>
        <v>199.99999999999997</v>
      </c>
      <c r="D279" s="268">
        <f>C279</f>
        <v>199.99999999999997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4160</v>
      </c>
      <c r="D281" s="262">
        <f>ROUND(D245+D248+D251+D254+D257+D260+D261,0)</f>
        <v>897</v>
      </c>
    </row>
    <row r="282" spans="1:4" x14ac:dyDescent="0.25">
      <c r="B282" s="14" t="s">
        <v>1423</v>
      </c>
      <c r="C282" s="170">
        <f>ROUND(C246+C249+C252+C255+C258,0)</f>
        <v>569</v>
      </c>
      <c r="D282" s="262">
        <f>ROUND(D246+D249+D252+D255+D258,0)</f>
        <v>116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14.96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28.45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4729</v>
      </c>
      <c r="D287" s="262">
        <f>SUM(D281:D283)</f>
        <v>1013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306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258.20000000000005</v>
      </c>
      <c r="D290" s="269">
        <f>D275+D276+D277</f>
        <v>251.4</v>
      </c>
    </row>
    <row r="291" spans="2:4" x14ac:dyDescent="0.25">
      <c r="B291" s="14" t="s">
        <v>1432</v>
      </c>
      <c r="C291" s="268">
        <f>C278+C279+C280</f>
        <v>220.99999999999997</v>
      </c>
      <c r="D291" s="268">
        <f>D278+D279+D280</f>
        <v>220.99999999999997</v>
      </c>
    </row>
    <row r="292" spans="2:4" x14ac:dyDescent="0.25">
      <c r="B292" s="14" t="s">
        <v>909</v>
      </c>
      <c r="C292" s="170">
        <f>ROUND(SUM(C287:C291),0)</f>
        <v>6114</v>
      </c>
      <c r="D292" s="262">
        <f>ROUND(SUM(D287:D291),0)</f>
        <v>2085</v>
      </c>
    </row>
    <row r="293" spans="2:4" x14ac:dyDescent="0.25">
      <c r="B293" s="14" t="s">
        <v>910</v>
      </c>
      <c r="C293" s="170">
        <f>ROUND(IF(Scénario!$K$129=1,SUM(C275:C280),SUM(C278:C280)),0)</f>
        <v>479</v>
      </c>
      <c r="D293" s="170">
        <f>ROUND(IF(Scénario!$K$129=1,SUM(D275:D280),SUM(D278:D280)),0)</f>
        <v>472</v>
      </c>
    </row>
    <row r="294" spans="2:4" x14ac:dyDescent="0.25">
      <c r="B294" s="14" t="s">
        <v>911</v>
      </c>
      <c r="C294" s="170">
        <f>ROUND((C292-C293)/C83,0)</f>
        <v>2818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40.1536614094898</v>
      </c>
    </row>
    <row r="299" spans="2:4" x14ac:dyDescent="0.25">
      <c r="B299" s="14" t="s">
        <v>1447</v>
      </c>
      <c r="C299" s="170">
        <f>IF(Troupeau!$B$3="OL",CdTrp1!AA221,0)</f>
        <v>37.820296110204076</v>
      </c>
    </row>
    <row r="300" spans="2:4" x14ac:dyDescent="0.25">
      <c r="B300" s="14" t="s">
        <v>1448</v>
      </c>
      <c r="C300" s="170">
        <f>IF(Troupeau!$B$3="BV",CdTrp1!AA220,0)+IF(Troupeau!$C$3="BV",CdTrp2!AA220,0)</f>
        <v>44.219362499999981</v>
      </c>
    </row>
    <row r="301" spans="2:4" x14ac:dyDescent="0.25">
      <c r="B301" s="14" t="s">
        <v>1449</v>
      </c>
      <c r="C301" s="170">
        <f>IF(Troupeau!$B$3="BV",CdTrp1!AA221,0)+IF(Troupeau!$C$3="BV",CdTrp2!AA221,0)</f>
        <v>12.373666666666665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15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36264</v>
      </c>
    </row>
    <row r="308" spans="2:3" x14ac:dyDescent="0.25">
      <c r="B308" s="14" t="s">
        <v>1456</v>
      </c>
      <c r="C308" s="170">
        <f>'Calcul éco'!X235</f>
        <v>666.66666666666663</v>
      </c>
    </row>
    <row r="309" spans="2:3" x14ac:dyDescent="0.25">
      <c r="B309" s="14" t="s">
        <v>1457</v>
      </c>
      <c r="C309" s="170">
        <f>'Calcul éco'!X236</f>
        <v>0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4" activePane="bottomLeft" state="frozen"/>
      <selection pane="bottomLeft" activeCell="S55" sqref="S55:V55"/>
    </sheetView>
  </sheetViews>
  <sheetFormatPr baseColWidth="10" defaultRowHeight="15" x14ac:dyDescent="0.25"/>
  <cols>
    <col min="1" max="1" width="25.7109375" customWidth="1"/>
    <col min="2" max="25" width="6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1469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1470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273">
        <v>0</v>
      </c>
      <c r="S55" s="273">
        <v>0.5</v>
      </c>
      <c r="T55" s="273">
        <v>0.5</v>
      </c>
      <c r="U55" s="273">
        <v>0.5</v>
      </c>
      <c r="V55" s="273">
        <v>0.5</v>
      </c>
      <c r="W55" s="273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30.096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58.38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332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6688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60">
        <v>2</v>
      </c>
      <c r="U79" s="60">
        <v>2</v>
      </c>
      <c r="V79" s="60">
        <v>2</v>
      </c>
      <c r="W79" s="273"/>
      <c r="X79" s="273"/>
      <c r="Y79" s="273"/>
      <c r="AB79" s="142">
        <v>2</v>
      </c>
      <c r="AC79">
        <f t="shared" ref="AC79:AC81" si="30">COUNTIF($B$76:$Y$85,AB79)/2</f>
        <v>2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0.2</v>
      </c>
      <c r="G123" s="273">
        <v>0.2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0.1</v>
      </c>
      <c r="C124" s="273">
        <v>0.1</v>
      </c>
      <c r="D124" s="273">
        <v>0.2</v>
      </c>
      <c r="E124" s="273">
        <v>0.2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>
        <v>0.8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>
        <v>0.5</v>
      </c>
      <c r="X124" s="273">
        <v>0.3</v>
      </c>
      <c r="Y124" s="273">
        <v>0.3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/>
      <c r="C125" s="273"/>
      <c r="D125" s="273"/>
      <c r="E125" s="159"/>
      <c r="F125" s="159"/>
      <c r="G125" s="1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>
        <v>0.8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0.7</v>
      </c>
      <c r="S126" s="273">
        <v>0.7</v>
      </c>
      <c r="T126" s="273">
        <v>0.5</v>
      </c>
      <c r="U126" s="273">
        <v>0.4</v>
      </c>
      <c r="V126" s="273">
        <v>0.3</v>
      </c>
      <c r="W126" s="273">
        <v>0.3</v>
      </c>
      <c r="X126" s="273"/>
      <c r="Y126" s="273"/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159"/>
      <c r="Y127" s="159"/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6.13342356489796</v>
      </c>
      <c r="G136" s="61">
        <f t="shared" si="52"/>
        <v>6.3213557632653057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99.661192475204089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2.3921545408163261</v>
      </c>
      <c r="C137" s="61">
        <f t="shared" si="53"/>
        <v>2.1606557142857143</v>
      </c>
      <c r="D137" s="61">
        <f t="shared" si="53"/>
        <v>1.5488571428571432</v>
      </c>
      <c r="E137" s="61">
        <f t="shared" si="53"/>
        <v>1.3629942857142856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8.5740306122448956E-2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0.2074362244897959</v>
      </c>
      <c r="X137" s="61">
        <f t="shared" si="53"/>
        <v>1.8605646428571425</v>
      </c>
      <c r="Y137" s="61">
        <f t="shared" si="53"/>
        <v>1.8605646428571425</v>
      </c>
      <c r="AA137" s="61">
        <f>SUM(B137:Y137)</f>
        <v>15.283375515306121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0.7842380000000001</v>
      </c>
      <c r="K139" s="61">
        <f t="shared" si="53"/>
        <v>0.7842380000000001</v>
      </c>
      <c r="L139" s="61">
        <f t="shared" si="53"/>
        <v>0.15178799999999998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0.48789000000000005</v>
      </c>
      <c r="S139" s="61">
        <f t="shared" si="53"/>
        <v>0.48789000000000005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10.789597000000001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0.18862867346938775</v>
      </c>
      <c r="G140" s="61">
        <f t="shared" si="53"/>
        <v>0.18862867346938775</v>
      </c>
      <c r="H140" s="61">
        <f t="shared" si="53"/>
        <v>0.18254387755102039</v>
      </c>
      <c r="I140" s="61">
        <f t="shared" si="53"/>
        <v>0.18254387755102039</v>
      </c>
      <c r="J140" s="61">
        <f t="shared" si="53"/>
        <v>0.18862867346938775</v>
      </c>
      <c r="K140" s="61">
        <f t="shared" si="53"/>
        <v>0.18862867346938775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2.3974095918367349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128.13157458234696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147.35131076969898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1.53335589122449</v>
      </c>
      <c r="G149" s="61">
        <f t="shared" si="56"/>
        <v>1.5803389408163264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0.26579494897959188</v>
      </c>
      <c r="C150" s="61">
        <f t="shared" si="57"/>
        <v>0.2400728571428572</v>
      </c>
      <c r="D150" s="61">
        <f t="shared" si="57"/>
        <v>0.38721428571428573</v>
      </c>
      <c r="E150" s="61">
        <f t="shared" si="57"/>
        <v>0.3407485714285714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0.34296122448979593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0.2074362244897959</v>
      </c>
      <c r="X150" s="61">
        <f t="shared" si="57"/>
        <v>0.79738484693877543</v>
      </c>
      <c r="Y150" s="61">
        <f t="shared" si="57"/>
        <v>0.79738484693877543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</v>
      </c>
      <c r="K152" s="61">
        <f t="shared" si="59"/>
        <v>0</v>
      </c>
      <c r="L152" s="61">
        <f t="shared" si="59"/>
        <v>0.60715200000000014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1.1384099999999999</v>
      </c>
      <c r="S152" s="61">
        <f t="shared" si="59"/>
        <v>1.1384099999999999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77.97395751969384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1.53335589122449</v>
      </c>
      <c r="G162" s="61">
        <f t="shared" si="66"/>
        <v>1.5803389408163264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0.26579494897959188</v>
      </c>
      <c r="C163" s="61">
        <f t="shared" si="67"/>
        <v>0.2400728571428572</v>
      </c>
      <c r="D163" s="61">
        <f t="shared" si="67"/>
        <v>0.38721428571428573</v>
      </c>
      <c r="E163" s="61">
        <f t="shared" si="67"/>
        <v>0.3407485714285714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0.34296122448979593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0.2074362244897959</v>
      </c>
      <c r="X163" s="61">
        <f t="shared" si="67"/>
        <v>0.79738484693877543</v>
      </c>
      <c r="Y163" s="61">
        <f t="shared" si="67"/>
        <v>0.79738484693877543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0.60715200000000014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0.26579494897959188</v>
      </c>
      <c r="C172" s="61">
        <f t="shared" ref="C172:Y172" si="76">SUM(C162:C171)</f>
        <v>0.2400728571428572</v>
      </c>
      <c r="D172" s="61">
        <f t="shared" si="76"/>
        <v>0.38721428571428573</v>
      </c>
      <c r="E172" s="61">
        <f t="shared" si="76"/>
        <v>0.3407485714285714</v>
      </c>
      <c r="F172" s="61">
        <f t="shared" si="76"/>
        <v>2.0709476106122451</v>
      </c>
      <c r="G172" s="61">
        <f t="shared" si="76"/>
        <v>2.0387066173469388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3.9051306208163266</v>
      </c>
      <c r="L172" s="61">
        <f t="shared" si="76"/>
        <v>4.1453476408163263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2.3295088010204079</v>
      </c>
      <c r="X172" s="61">
        <f t="shared" si="76"/>
        <v>0.79738484693877543</v>
      </c>
      <c r="Y172" s="61">
        <f t="shared" si="76"/>
        <v>0.79738484693877543</v>
      </c>
      <c r="AA172" s="64">
        <f>SUM(B172:Y172)</f>
        <v>37.0149024094898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1.1384099999999999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1.1384099999999999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3.1387590000000003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1.1384099999999999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3.8893079387755103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37.820296110204076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0.26579494897959188</v>
      </c>
      <c r="C215" s="61">
        <f t="shared" ref="C215:Y215" si="109">C172</f>
        <v>0.2400728571428572</v>
      </c>
      <c r="D215" s="61">
        <f t="shared" si="109"/>
        <v>0.38721428571428573</v>
      </c>
      <c r="E215" s="61">
        <f t="shared" si="109"/>
        <v>0.3407485714285714</v>
      </c>
      <c r="F215" s="61">
        <f t="shared" si="109"/>
        <v>2.0709476106122451</v>
      </c>
      <c r="G215" s="61">
        <f t="shared" si="109"/>
        <v>2.0387066173469388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3.9051306208163266</v>
      </c>
      <c r="L215" s="61">
        <f t="shared" si="109"/>
        <v>4.1453476408163263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2.3295088010204079</v>
      </c>
      <c r="X215" s="61">
        <f t="shared" si="109"/>
        <v>0.79738484693877543</v>
      </c>
      <c r="Y215" s="61">
        <f t="shared" si="109"/>
        <v>0.79738484693877543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1.1384099999999999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3.8893079387755103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77.973957519693897</v>
      </c>
      <c r="AB219" t="s">
        <v>222</v>
      </c>
    </row>
    <row r="220" spans="1:28" x14ac:dyDescent="0.25">
      <c r="AA220" s="30">
        <f>SUM(B215:Y217)</f>
        <v>40.1536614094898</v>
      </c>
      <c r="AB220" t="s">
        <v>223</v>
      </c>
    </row>
    <row r="221" spans="1:28" x14ac:dyDescent="0.25">
      <c r="AA221" s="30">
        <f>SUM(B218:Y218)</f>
        <v>37.820296110204076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0" activePane="bottomLeft" state="frozen"/>
      <selection pane="bottomLeft" activeCell="T123" sqref="T123:W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4</v>
      </c>
      <c r="K76" s="60">
        <v>4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4</v>
      </c>
      <c r="S76" s="60">
        <v>1</v>
      </c>
      <c r="T76" s="273">
        <v>1</v>
      </c>
      <c r="U76" s="273">
        <v>1</v>
      </c>
      <c r="V76" s="273">
        <v>1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4</v>
      </c>
      <c r="K77" s="60">
        <v>4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2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8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3.5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0.6</v>
      </c>
      <c r="O123" s="60">
        <v>0.6</v>
      </c>
      <c r="P123" s="60">
        <v>0.5</v>
      </c>
      <c r="Q123" s="60">
        <v>0.5</v>
      </c>
      <c r="R123" s="60">
        <v>1</v>
      </c>
      <c r="S123" s="60">
        <v>1</v>
      </c>
      <c r="T123" s="273">
        <v>0.4</v>
      </c>
      <c r="U123" s="273">
        <v>0.4</v>
      </c>
      <c r="V123" s="273">
        <v>0.4</v>
      </c>
      <c r="W123" s="273">
        <v>0.4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2.2866666666666666</v>
      </c>
      <c r="F136" s="61">
        <f t="shared" si="32"/>
        <v>2.5316666666666667</v>
      </c>
      <c r="G136" s="61">
        <f t="shared" si="32"/>
        <v>2.5316666666666667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1.0759583333333333</v>
      </c>
      <c r="O136" s="61">
        <f t="shared" si="32"/>
        <v>1.0759583333333333</v>
      </c>
      <c r="P136" s="61">
        <f t="shared" si="32"/>
        <v>1.3449479166666667</v>
      </c>
      <c r="Q136" s="61">
        <f t="shared" si="32"/>
        <v>1.3449479166666667</v>
      </c>
      <c r="R136" s="61">
        <f t="shared" si="32"/>
        <v>0</v>
      </c>
      <c r="S136" s="61">
        <f t="shared" si="32"/>
        <v>0</v>
      </c>
      <c r="T136" s="61">
        <f t="shared" si="32"/>
        <v>1.0144749999999998</v>
      </c>
      <c r="U136" s="61">
        <f t="shared" si="32"/>
        <v>1.0144749999999998</v>
      </c>
      <c r="V136" s="61">
        <f t="shared" si="32"/>
        <v>1.47</v>
      </c>
      <c r="W136" s="61">
        <f t="shared" si="32"/>
        <v>1.47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31.756762499999997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36.3044625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39.934908750000005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0.98000000000000043</v>
      </c>
      <c r="F149" s="61">
        <f t="shared" si="36"/>
        <v>1.0850000000000004</v>
      </c>
      <c r="G149" s="61">
        <f t="shared" si="36"/>
        <v>1.0850000000000004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1.6139375</v>
      </c>
      <c r="O149" s="61">
        <f t="shared" si="36"/>
        <v>1.6139375</v>
      </c>
      <c r="P149" s="61">
        <f t="shared" si="36"/>
        <v>1.3449479166666667</v>
      </c>
      <c r="Q149" s="61">
        <f t="shared" si="36"/>
        <v>1.3449479166666667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0.67631666666666668</v>
      </c>
      <c r="U149" s="61">
        <f t="shared" si="36"/>
        <v>0.67631666666666668</v>
      </c>
      <c r="V149" s="61">
        <f t="shared" si="36"/>
        <v>0.9800000000000002</v>
      </c>
      <c r="W149" s="61">
        <f t="shared" si="36"/>
        <v>0.9800000000000002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56.593029166666653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0.98000000000000043</v>
      </c>
      <c r="F162" s="61">
        <f t="shared" si="46"/>
        <v>1.0850000000000004</v>
      </c>
      <c r="G162" s="61">
        <f t="shared" si="46"/>
        <v>1.0850000000000004</v>
      </c>
      <c r="H162" s="61">
        <f t="shared" si="46"/>
        <v>2.1</v>
      </c>
      <c r="I162" s="61">
        <f t="shared" si="46"/>
        <v>1.7850000000000004</v>
      </c>
      <c r="J162" s="61">
        <f t="shared" si="46"/>
        <v>0</v>
      </c>
      <c r="K162" s="61">
        <f t="shared" si="46"/>
        <v>0</v>
      </c>
      <c r="L162" s="61">
        <f t="shared" si="46"/>
        <v>2.6031250000000004</v>
      </c>
      <c r="M162" s="61">
        <f t="shared" si="46"/>
        <v>2.6031250000000004</v>
      </c>
      <c r="N162" s="61">
        <f t="shared" si="46"/>
        <v>1.6139375</v>
      </c>
      <c r="O162" s="61">
        <f t="shared" si="46"/>
        <v>1.6139375</v>
      </c>
      <c r="P162" s="61">
        <f t="shared" si="46"/>
        <v>1.3449479166666667</v>
      </c>
      <c r="Q162" s="61">
        <f t="shared" si="46"/>
        <v>1.3449479166666667</v>
      </c>
      <c r="R162" s="61">
        <f t="shared" si="46"/>
        <v>0</v>
      </c>
      <c r="S162" s="61">
        <f t="shared" si="46"/>
        <v>2.6031250000000004</v>
      </c>
      <c r="T162" s="61">
        <f t="shared" si="46"/>
        <v>0.67631666666666668</v>
      </c>
      <c r="U162" s="61">
        <f t="shared" si="46"/>
        <v>0.67631666666666668</v>
      </c>
      <c r="V162" s="61">
        <f t="shared" si="46"/>
        <v>0.9800000000000002</v>
      </c>
      <c r="W162" s="61">
        <f t="shared" si="46"/>
        <v>0.9800000000000002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0.98000000000000043</v>
      </c>
      <c r="F172" s="61">
        <f t="shared" si="56"/>
        <v>1.0850000000000004</v>
      </c>
      <c r="G172" s="61">
        <f t="shared" si="56"/>
        <v>1.0850000000000004</v>
      </c>
      <c r="H172" s="61">
        <f t="shared" si="56"/>
        <v>2.1</v>
      </c>
      <c r="I172" s="61">
        <f t="shared" si="56"/>
        <v>1.7850000000000004</v>
      </c>
      <c r="J172" s="61">
        <f t="shared" si="56"/>
        <v>0</v>
      </c>
      <c r="K172" s="61">
        <f t="shared" si="56"/>
        <v>0</v>
      </c>
      <c r="L172" s="61">
        <f t="shared" si="56"/>
        <v>2.6031250000000004</v>
      </c>
      <c r="M172" s="61">
        <f t="shared" si="56"/>
        <v>2.6031250000000004</v>
      </c>
      <c r="N172" s="61">
        <f t="shared" si="56"/>
        <v>1.6139375</v>
      </c>
      <c r="O172" s="61">
        <f t="shared" si="56"/>
        <v>1.6139375</v>
      </c>
      <c r="P172" s="61">
        <f t="shared" si="56"/>
        <v>1.3449479166666667</v>
      </c>
      <c r="Q172" s="61">
        <f t="shared" si="56"/>
        <v>1.3449479166666667</v>
      </c>
      <c r="R172" s="61">
        <f t="shared" si="56"/>
        <v>0</v>
      </c>
      <c r="S172" s="61">
        <f t="shared" si="56"/>
        <v>2.6031250000000004</v>
      </c>
      <c r="T172" s="61">
        <f t="shared" si="56"/>
        <v>0.67631666666666668</v>
      </c>
      <c r="U172" s="61">
        <f t="shared" si="56"/>
        <v>0.67631666666666668</v>
      </c>
      <c r="V172" s="61">
        <f t="shared" si="56"/>
        <v>0.9800000000000002</v>
      </c>
      <c r="W172" s="61">
        <f t="shared" si="56"/>
        <v>0.9800000000000002</v>
      </c>
      <c r="X172" s="61">
        <f t="shared" si="56"/>
        <v>0</v>
      </c>
      <c r="Y172" s="61">
        <f t="shared" si="56"/>
        <v>0</v>
      </c>
      <c r="AA172" s="64">
        <f>SUM(B172:Y172)</f>
        <v>24.074779166666666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0.94033333333333347</v>
      </c>
      <c r="G176" s="61">
        <f t="shared" si="58"/>
        <v>0.94033333333333347</v>
      </c>
      <c r="H176" s="61">
        <f t="shared" si="58"/>
        <v>0.91</v>
      </c>
      <c r="I176" s="61">
        <f t="shared" si="58"/>
        <v>0.91</v>
      </c>
      <c r="J176" s="61">
        <f t="shared" si="58"/>
        <v>0</v>
      </c>
      <c r="K176" s="61">
        <f t="shared" si="58"/>
        <v>0</v>
      </c>
      <c r="L176" s="61">
        <f t="shared" si="58"/>
        <v>1.1375000000000002</v>
      </c>
      <c r="M176" s="61">
        <f t="shared" si="58"/>
        <v>1.1375000000000002</v>
      </c>
      <c r="N176" s="61">
        <f t="shared" si="58"/>
        <v>1.1754166666666668</v>
      </c>
      <c r="O176" s="61">
        <f t="shared" si="58"/>
        <v>1.1754166666666668</v>
      </c>
      <c r="P176" s="61">
        <f t="shared" si="58"/>
        <v>1.1754166666666668</v>
      </c>
      <c r="Q176" s="61">
        <f t="shared" si="58"/>
        <v>1.1754166666666668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1.8525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0.8493333333333335</v>
      </c>
      <c r="F185" s="61">
        <f>SUM(CdTrp2!F175:F184)</f>
        <v>0.94033333333333347</v>
      </c>
      <c r="G185" s="61">
        <f>SUM(CdTrp2!G175:G184)</f>
        <v>0.94033333333333347</v>
      </c>
      <c r="H185" s="61">
        <f>SUM(CdTrp2!H175:H184)</f>
        <v>0.91</v>
      </c>
      <c r="I185" s="61">
        <f>SUM(CdTrp2!I175:I184)</f>
        <v>0.91</v>
      </c>
      <c r="J185" s="61">
        <f>SUM(CdTrp2!J175:J184)</f>
        <v>0</v>
      </c>
      <c r="K185" s="61">
        <f>SUM(CdTrp2!K175:K184)</f>
        <v>0</v>
      </c>
      <c r="L185" s="61">
        <f>SUM(CdTrp2!L175:L184)</f>
        <v>1.1375000000000002</v>
      </c>
      <c r="M185" s="61">
        <f>SUM(CdTrp2!M175:M184)</f>
        <v>1.1375000000000002</v>
      </c>
      <c r="N185" s="61">
        <f>SUM(CdTrp2!N175:N184)</f>
        <v>1.1754166666666668</v>
      </c>
      <c r="O185" s="61">
        <f>SUM(CdTrp2!O175:O184)</f>
        <v>1.1754166666666668</v>
      </c>
      <c r="P185" s="61">
        <f>SUM(CdTrp2!P175:P184)</f>
        <v>1.1754166666666668</v>
      </c>
      <c r="Q185" s="61">
        <f>SUM(CdTrp2!Q175:Q184)</f>
        <v>1.1754166666666668</v>
      </c>
      <c r="R185" s="61">
        <f>SUM(CdTrp2!R175:R184)</f>
        <v>0</v>
      </c>
      <c r="S185" s="61">
        <f>SUM(CdTrp2!S175:S184)</f>
        <v>0</v>
      </c>
      <c r="T185" s="61">
        <f>SUM(CdTrp2!T175:T184)</f>
        <v>2.031791666666666</v>
      </c>
      <c r="U185" s="61">
        <f>SUM(CdTrp2!U175:U184)</f>
        <v>2.031791666666666</v>
      </c>
      <c r="V185" s="61">
        <f>SUM(CdTrp2!V175:V184)</f>
        <v>1.8525</v>
      </c>
      <c r="W185" s="61">
        <f>SUM(CdTrp2!W175:W184)</f>
        <v>1.8525</v>
      </c>
      <c r="X185" s="61">
        <f>SUM(CdTrp2!X175:X184)</f>
        <v>0</v>
      </c>
      <c r="Y185" s="61">
        <f>SUM(CdTrp2!Y175:Y184)</f>
        <v>0</v>
      </c>
      <c r="AA185" s="64">
        <f>SUM(B185:Y185)</f>
        <v>20.144583333333333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2.6031250000000004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3.7406250000000005</v>
      </c>
      <c r="S211" s="61">
        <f t="shared" si="88"/>
        <v>1.1375000000000002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12.373666666666665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0.98000000000000043</v>
      </c>
      <c r="F215" s="61">
        <f t="shared" si="89"/>
        <v>1.0850000000000004</v>
      </c>
      <c r="G215" s="61">
        <f t="shared" si="89"/>
        <v>1.0850000000000004</v>
      </c>
      <c r="H215" s="61">
        <f t="shared" si="89"/>
        <v>2.1</v>
      </c>
      <c r="I215" s="61">
        <f t="shared" si="89"/>
        <v>1.7850000000000004</v>
      </c>
      <c r="J215" s="61">
        <f t="shared" si="89"/>
        <v>0</v>
      </c>
      <c r="K215" s="61">
        <f t="shared" si="89"/>
        <v>0</v>
      </c>
      <c r="L215" s="61">
        <f t="shared" si="89"/>
        <v>2.6031250000000004</v>
      </c>
      <c r="M215" s="61">
        <f t="shared" si="89"/>
        <v>2.6031250000000004</v>
      </c>
      <c r="N215" s="61">
        <f t="shared" si="89"/>
        <v>1.6139375</v>
      </c>
      <c r="O215" s="61">
        <f t="shared" si="89"/>
        <v>1.6139375</v>
      </c>
      <c r="P215" s="61">
        <f t="shared" si="89"/>
        <v>1.3449479166666667</v>
      </c>
      <c r="Q215" s="61">
        <f t="shared" si="89"/>
        <v>1.3449479166666667</v>
      </c>
      <c r="R215" s="61">
        <f t="shared" si="89"/>
        <v>0</v>
      </c>
      <c r="S215" s="61">
        <f t="shared" si="89"/>
        <v>2.6031250000000004</v>
      </c>
      <c r="T215" s="61">
        <f t="shared" si="89"/>
        <v>0.67631666666666668</v>
      </c>
      <c r="U215" s="61">
        <f t="shared" si="89"/>
        <v>0.67631666666666668</v>
      </c>
      <c r="V215" s="61">
        <f t="shared" si="89"/>
        <v>0.9800000000000002</v>
      </c>
      <c r="W215" s="61">
        <f t="shared" si="89"/>
        <v>0.9800000000000002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0.8493333333333335</v>
      </c>
      <c r="F216" s="61">
        <f t="shared" si="90"/>
        <v>0.94033333333333347</v>
      </c>
      <c r="G216" s="61">
        <f t="shared" si="90"/>
        <v>0.94033333333333347</v>
      </c>
      <c r="H216" s="61">
        <f t="shared" si="90"/>
        <v>0.91</v>
      </c>
      <c r="I216" s="61">
        <f t="shared" si="90"/>
        <v>0.91</v>
      </c>
      <c r="J216" s="61">
        <f t="shared" si="90"/>
        <v>0</v>
      </c>
      <c r="K216" s="61">
        <f t="shared" si="90"/>
        <v>0</v>
      </c>
      <c r="L216" s="61">
        <f t="shared" si="90"/>
        <v>1.1375000000000002</v>
      </c>
      <c r="M216" s="61">
        <f t="shared" si="90"/>
        <v>1.1375000000000002</v>
      </c>
      <c r="N216" s="61">
        <f t="shared" si="90"/>
        <v>1.1754166666666668</v>
      </c>
      <c r="O216" s="61">
        <f t="shared" si="90"/>
        <v>1.1754166666666668</v>
      </c>
      <c r="P216" s="61">
        <f t="shared" si="90"/>
        <v>1.1754166666666668</v>
      </c>
      <c r="Q216" s="61">
        <f t="shared" si="90"/>
        <v>1.1754166666666668</v>
      </c>
      <c r="R216" s="61">
        <f t="shared" si="90"/>
        <v>0</v>
      </c>
      <c r="S216" s="61">
        <f t="shared" si="90"/>
        <v>0</v>
      </c>
      <c r="T216" s="61">
        <f t="shared" si="90"/>
        <v>2.031791666666666</v>
      </c>
      <c r="U216" s="61">
        <f t="shared" si="90"/>
        <v>2.031791666666666</v>
      </c>
      <c r="V216" s="61">
        <f t="shared" si="90"/>
        <v>1.8525</v>
      </c>
      <c r="W216" s="61">
        <f t="shared" si="90"/>
        <v>1.8525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3.7406250000000005</v>
      </c>
      <c r="S218" s="61">
        <f t="shared" si="92"/>
        <v>1.1375000000000002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56.593029166666653</v>
      </c>
      <c r="AB219" t="s">
        <v>222</v>
      </c>
    </row>
    <row r="220" spans="1:28" x14ac:dyDescent="0.25">
      <c r="AA220" s="30">
        <f>SUM(B215:Y217)</f>
        <v>44.219362499999981</v>
      </c>
      <c r="AB220" t="s">
        <v>223</v>
      </c>
    </row>
    <row r="221" spans="1:28" x14ac:dyDescent="0.25">
      <c r="AA221" s="30">
        <f>SUM(B218:Y218)</f>
        <v>12.373666666666665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41.116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187.28621951969899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0.26579494897959188</v>
      </c>
      <c r="H5" s="143">
        <f>CdTrp1!C215+CdTrp2!C215+CdTrp3!C215+CdTrp4!C215</f>
        <v>0.2400728571428572</v>
      </c>
      <c r="I5" s="143">
        <f>CdTrp1!D215+CdTrp2!D215+CdTrp3!D215+CdTrp4!D215</f>
        <v>0.38721428571428573</v>
      </c>
      <c r="J5" s="143">
        <f>CdTrp1!E215+CdTrp2!E215+CdTrp3!E215+CdTrp4!E215</f>
        <v>1.3207485714285718</v>
      </c>
      <c r="K5" s="143">
        <f>CdTrp1!F215+CdTrp2!F215+CdTrp3!F215+CdTrp4!F215</f>
        <v>3.1559476106122455</v>
      </c>
      <c r="L5" s="143">
        <f>CdTrp1!G215+CdTrp2!G215+CdTrp3!G215+CdTrp4!G215</f>
        <v>3.1237066173469392</v>
      </c>
      <c r="M5" s="143">
        <f>CdTrp1!H215+CdTrp2!H215+CdTrp3!H215+CdTrp4!H215</f>
        <v>5.6165686591836739</v>
      </c>
      <c r="N5" s="143">
        <f>CdTrp1!I215+CdTrp2!I215+CdTrp3!I215+CdTrp4!I215</f>
        <v>5.3241019775510212</v>
      </c>
      <c r="O5" s="143">
        <f>CdTrp1!J215+CdTrp2!J215+CdTrp3!J215+CdTrp4!J215</f>
        <v>3.6803564724489801</v>
      </c>
      <c r="P5" s="143">
        <f>CdTrp1!K215+CdTrp2!K215+CdTrp3!K215+CdTrp4!K215</f>
        <v>3.9051306208163266</v>
      </c>
      <c r="Q5" s="143">
        <f>CdTrp1!L215+CdTrp2!L215+CdTrp3!L215+CdTrp4!L215</f>
        <v>6.7484726408163267</v>
      </c>
      <c r="R5" s="143">
        <f>CdTrp1!M215+CdTrp2!M215+CdTrp3!M215+CdTrp4!M215</f>
        <v>2.6031250000000004</v>
      </c>
      <c r="S5" s="143">
        <f>CdTrp1!N215+CdTrp2!N215+CdTrp3!N215+CdTrp4!N215</f>
        <v>1.6139375</v>
      </c>
      <c r="T5" s="143">
        <f>CdTrp1!O215+CdTrp2!O215+CdTrp3!O215+CdTrp4!O215</f>
        <v>1.6139375</v>
      </c>
      <c r="U5" s="143">
        <f>CdTrp1!P215+CdTrp2!P215+CdTrp3!P215+CdTrp4!P215</f>
        <v>1.3449479166666667</v>
      </c>
      <c r="V5" s="143">
        <f>CdTrp1!Q215+CdTrp2!Q215+CdTrp3!Q215+CdTrp4!Q215</f>
        <v>1.3449479166666667</v>
      </c>
      <c r="W5" s="143">
        <f>CdTrp1!R215+CdTrp2!R215+CdTrp3!R215+CdTrp4!R215</f>
        <v>0</v>
      </c>
      <c r="X5" s="143">
        <f>CdTrp1!S215+CdTrp2!S215+CdTrp3!S215+CdTrp4!S215</f>
        <v>5.193339647959184</v>
      </c>
      <c r="Y5" s="143">
        <f>CdTrp1!T215+CdTrp2!T215+CdTrp3!T215+CdTrp4!T215</f>
        <v>3.352871802891157</v>
      </c>
      <c r="Z5" s="143">
        <f>CdTrp1!U215+CdTrp2!U215+CdTrp3!U215+CdTrp4!U215</f>
        <v>3.352871802891157</v>
      </c>
      <c r="AA5" s="143">
        <f>CdTrp1!V215+CdTrp2!V215+CdTrp3!V215+CdTrp4!V215</f>
        <v>1.9973087321428575</v>
      </c>
      <c r="AB5" s="143">
        <f>CdTrp1!W215+CdTrp2!W215+CdTrp3!W215+CdTrp4!W215</f>
        <v>3.3095088010204083</v>
      </c>
      <c r="AC5" s="143">
        <f>CdTrp1!X215+CdTrp2!X215+CdTrp3!X215+CdTrp4!X215</f>
        <v>0.79738484693877543</v>
      </c>
      <c r="AD5" s="143">
        <f>CdTrp1!Y215+CdTrp2!Y215+CdTrp3!Y215+CdTrp4!Y215</f>
        <v>0.79738484693877543</v>
      </c>
      <c r="AE5" s="153"/>
      <c r="AF5" s="144">
        <f>AF8+AF9</f>
        <v>134.56698668636054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0.8493333333333335</v>
      </c>
      <c r="K6" s="143">
        <f>CdTrp1!F216+CdTrp2!F216+CdTrp3!F216+CdTrp4!F216</f>
        <v>0.94033333333333347</v>
      </c>
      <c r="L6" s="143">
        <f>CdTrp1!G216+CdTrp2!G216+CdTrp3!G216+CdTrp4!G216</f>
        <v>0.94033333333333347</v>
      </c>
      <c r="M6" s="143">
        <f>CdTrp1!H216+CdTrp2!H216+CdTrp3!H216+CdTrp4!H216</f>
        <v>0.91</v>
      </c>
      <c r="N6" s="143">
        <f>CdTrp1!I216+CdTrp2!I216+CdTrp3!I216+CdTrp4!I216</f>
        <v>0.91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1.1375000000000002</v>
      </c>
      <c r="R6" s="143">
        <f>CdTrp1!M216+CdTrp2!M216+CdTrp3!M216+CdTrp4!M216</f>
        <v>1.1375000000000002</v>
      </c>
      <c r="S6" s="143">
        <f>CdTrp1!N216+CdTrp2!N216+CdTrp3!N216+CdTrp4!N216</f>
        <v>1.1754166666666668</v>
      </c>
      <c r="T6" s="143">
        <f>CdTrp1!O216+CdTrp2!O216+CdTrp3!O216+CdTrp4!O216</f>
        <v>1.1754166666666668</v>
      </c>
      <c r="U6" s="143">
        <f>CdTrp1!P216+CdTrp2!P216+CdTrp3!P216+CdTrp4!P216</f>
        <v>1.1754166666666668</v>
      </c>
      <c r="V6" s="143">
        <f>CdTrp1!Q216+CdTrp2!Q216+CdTrp3!Q216+CdTrp4!Q216</f>
        <v>1.1754166666666668</v>
      </c>
      <c r="W6" s="143">
        <f>CdTrp1!R216+CdTrp2!R216+CdTrp3!R216+CdTrp4!R216</f>
        <v>0</v>
      </c>
      <c r="X6" s="143">
        <f>CdTrp1!S216+CdTrp2!S216+CdTrp3!S216+CdTrp4!S216</f>
        <v>1.1384099999999999</v>
      </c>
      <c r="Y6" s="143">
        <f>CdTrp1!T216+CdTrp2!T216+CdTrp3!T216+CdTrp4!T216</f>
        <v>2.872046666666666</v>
      </c>
      <c r="Z6" s="143">
        <f>CdTrp1!U216+CdTrp2!U216+CdTrp3!U216+CdTrp4!U216</f>
        <v>2.7039956666666658</v>
      </c>
      <c r="AA6" s="143">
        <f>CdTrp1!V216+CdTrp2!V216+CdTrp3!V216+CdTrp4!V216</f>
        <v>2.3403900000000002</v>
      </c>
      <c r="AB6" s="143">
        <f>CdTrp1!W216+CdTrp2!W216+CdTrp3!W216+CdTrp4!W216</f>
        <v>1.8525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187.29999999999998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0.26579494897959188</v>
      </c>
      <c r="H8" s="143">
        <f t="shared" ref="H8:AD8" si="0">SUM(H5:H7)</f>
        <v>0.2400728571428572</v>
      </c>
      <c r="I8" s="143">
        <f t="shared" si="0"/>
        <v>1.2365476190476192</v>
      </c>
      <c r="J8" s="143">
        <f t="shared" si="0"/>
        <v>2.1700819047619051</v>
      </c>
      <c r="K8" s="143">
        <f t="shared" si="0"/>
        <v>4.0962809439455787</v>
      </c>
      <c r="L8" s="143">
        <f t="shared" si="0"/>
        <v>4.0640399506802725</v>
      </c>
      <c r="M8" s="143">
        <f t="shared" si="0"/>
        <v>6.526568659183674</v>
      </c>
      <c r="N8" s="143">
        <f t="shared" si="0"/>
        <v>6.2341019775510214</v>
      </c>
      <c r="O8" s="143">
        <f t="shared" si="0"/>
        <v>3.6803564724489801</v>
      </c>
      <c r="P8" s="143">
        <f t="shared" si="0"/>
        <v>3.9051306208163266</v>
      </c>
      <c r="Q8" s="143">
        <f t="shared" si="0"/>
        <v>7.8859726408163269</v>
      </c>
      <c r="R8" s="143">
        <f t="shared" si="0"/>
        <v>3.7406250000000005</v>
      </c>
      <c r="S8" s="143">
        <f t="shared" si="0"/>
        <v>2.7893541666666666</v>
      </c>
      <c r="T8" s="143">
        <f t="shared" si="0"/>
        <v>2.7893541666666666</v>
      </c>
      <c r="U8" s="143">
        <f t="shared" si="0"/>
        <v>2.5203645833333335</v>
      </c>
      <c r="V8" s="143">
        <f t="shared" si="0"/>
        <v>2.5203645833333335</v>
      </c>
      <c r="W8" s="143">
        <f t="shared" si="0"/>
        <v>0</v>
      </c>
      <c r="X8" s="143">
        <f t="shared" si="0"/>
        <v>6.3317496479591835</v>
      </c>
      <c r="Y8" s="143">
        <f t="shared" si="0"/>
        <v>6.2249184695578226</v>
      </c>
      <c r="Z8" s="143">
        <f t="shared" si="0"/>
        <v>6.0568674695578224</v>
      </c>
      <c r="AA8" s="143">
        <f t="shared" si="0"/>
        <v>4.3376987321428579</v>
      </c>
      <c r="AB8" s="143">
        <f t="shared" si="0"/>
        <v>5.1620088010204084</v>
      </c>
      <c r="AC8" s="143">
        <f t="shared" si="0"/>
        <v>0.79738484693877543</v>
      </c>
      <c r="AD8" s="143">
        <f t="shared" si="0"/>
        <v>0.79738484693877543</v>
      </c>
      <c r="AE8" s="153"/>
      <c r="AF8" s="144">
        <f>SUM(G8:AD8)</f>
        <v>84.373023909489788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0</v>
      </c>
      <c r="R9" s="143">
        <f>CdTrp1!M218+CdTrp2!M218+CdTrp3!M218+CdTrp4!M218</f>
        <v>6.2607358775510207</v>
      </c>
      <c r="S9" s="143">
        <f>CdTrp1!N218+CdTrp2!N218+CdTrp3!N218+CdTrp4!N218</f>
        <v>6.4694270734693875</v>
      </c>
      <c r="T9" s="143">
        <f>CdTrp1!O218+CdTrp2!O218+CdTrp3!O218+CdTrp4!O218</f>
        <v>6.4694270734693875</v>
      </c>
      <c r="U9" s="143">
        <f>CdTrp1!P218+CdTrp2!P218+CdTrp3!P218+CdTrp4!P218</f>
        <v>7.3656990734693872</v>
      </c>
      <c r="V9" s="143">
        <f>CdTrp1!Q218+CdTrp2!Q218+CdTrp3!Q218+CdTrp4!Q218</f>
        <v>7.3656990734693872</v>
      </c>
      <c r="W9" s="143">
        <f>CdTrp1!R218+CdTrp2!R218+CdTrp3!R218+CdTrp4!R218</f>
        <v>7.6299329387755108</v>
      </c>
      <c r="X9" s="143">
        <f>CdTrp1!S218+CdTrp2!S218+CdTrp3!S218+CdTrp4!S218</f>
        <v>1.1375000000000002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50.193962776870748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23</v>
      </c>
      <c r="H18" s="157">
        <f>G18/$G$17</f>
        <v>0.54117647058823526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10</v>
      </c>
      <c r="H19" s="157">
        <f t="shared" ref="H19:H21" si="1">G19/$G$17</f>
        <v>0.23529411764705882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3.5</v>
      </c>
      <c r="H21" s="157">
        <f t="shared" si="1"/>
        <v>8.2352941176470587E-2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E20" zoomScale="90" zoomScaleNormal="90" workbookViewId="0">
      <selection activeCell="R35" sqref="R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0.26579494897959188</v>
      </c>
      <c r="AT5" s="13">
        <f>'Conduite Trp'!H8</f>
        <v>0.2400728571428572</v>
      </c>
      <c r="AU5" s="13">
        <f>'Conduite Trp'!I8</f>
        <v>1.2365476190476192</v>
      </c>
      <c r="AV5" s="13">
        <f>'Conduite Trp'!J8</f>
        <v>2.1700819047619051</v>
      </c>
      <c r="AW5" s="13">
        <f>'Conduite Trp'!K8</f>
        <v>4.0962809439455787</v>
      </c>
      <c r="AX5" s="13">
        <f>'Conduite Trp'!L8</f>
        <v>4.0640399506802725</v>
      </c>
      <c r="AY5" s="13">
        <f>'Conduite Trp'!M8</f>
        <v>6.526568659183674</v>
      </c>
      <c r="AZ5" s="13">
        <f>'Conduite Trp'!N8</f>
        <v>6.2341019775510214</v>
      </c>
      <c r="BA5" s="13">
        <f>'Conduite Trp'!O8</f>
        <v>3.6803564724489801</v>
      </c>
      <c r="BB5" s="13">
        <f>'Conduite Trp'!P8</f>
        <v>3.9051306208163266</v>
      </c>
      <c r="BC5" s="13">
        <f>'Conduite Trp'!Q8</f>
        <v>7.8859726408163269</v>
      </c>
      <c r="BD5" s="13">
        <f>'Conduite Trp'!R8</f>
        <v>3.7406250000000005</v>
      </c>
      <c r="BE5" s="13">
        <f>'Conduite Trp'!S8</f>
        <v>2.7893541666666666</v>
      </c>
      <c r="BF5" s="13">
        <f>'Conduite Trp'!T8</f>
        <v>2.7893541666666666</v>
      </c>
      <c r="BG5" s="13">
        <f>'Conduite Trp'!U8</f>
        <v>2.5203645833333335</v>
      </c>
      <c r="BH5" s="13">
        <f>'Conduite Trp'!V8</f>
        <v>2.5203645833333335</v>
      </c>
      <c r="BI5" s="13">
        <f>'Conduite Trp'!W8</f>
        <v>0</v>
      </c>
      <c r="BJ5" s="13">
        <f>'Conduite Trp'!X8</f>
        <v>6.3317496479591835</v>
      </c>
      <c r="BK5" s="13">
        <f>'Conduite Trp'!Y8</f>
        <v>6.2249184695578226</v>
      </c>
      <c r="BL5" s="13">
        <f>'Conduite Trp'!Z8</f>
        <v>6.0568674695578224</v>
      </c>
      <c r="BM5" s="13">
        <f>'Conduite Trp'!AA8</f>
        <v>4.3376987321428579</v>
      </c>
      <c r="BN5" s="13">
        <f>'Conduite Trp'!AB8</f>
        <v>5.1620088010204084</v>
      </c>
      <c r="BO5" s="13">
        <f>'Conduite Trp'!AC8</f>
        <v>0.79738484693877543</v>
      </c>
      <c r="BP5" s="13">
        <f>'Conduite Trp'!AD8</f>
        <v>0.79738484693877543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1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0.8</v>
      </c>
      <c r="AH7" s="61">
        <f t="shared" ref="AH7:AH26" si="3">$R7*Y7</f>
        <v>0</v>
      </c>
      <c r="AI7" s="61">
        <f t="shared" ref="AI7:AI26" si="4">$R7*Z7</f>
        <v>1</v>
      </c>
      <c r="AJ7" s="61">
        <f t="shared" ref="AJ7:AJ26" si="5">$R7*AA7</f>
        <v>0</v>
      </c>
      <c r="AK7" s="141"/>
      <c r="AL7" s="61">
        <f t="shared" ref="AL7:AL26" si="6">R7*AC7</f>
        <v>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6.526568659183674</v>
      </c>
      <c r="AZ7" s="61">
        <f t="shared" si="7"/>
        <v>6.2341019775510214</v>
      </c>
      <c r="BA7" s="61">
        <f t="shared" si="7"/>
        <v>3.6803564724489801</v>
      </c>
      <c r="BB7" s="61">
        <f t="shared" si="7"/>
        <v>3.9051306208163266</v>
      </c>
      <c r="BC7" s="61">
        <f t="shared" si="7"/>
        <v>7.8859726408163269</v>
      </c>
      <c r="BD7" s="61">
        <f t="shared" si="7"/>
        <v>3.7406250000000005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31.97275537081633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41.116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2.7893541666666666</v>
      </c>
      <c r="BF8" s="61">
        <f t="shared" si="8"/>
        <v>2.7893541666666666</v>
      </c>
      <c r="BG8" s="61">
        <f t="shared" si="8"/>
        <v>2.5203645833333335</v>
      </c>
      <c r="BH8" s="61">
        <f t="shared" si="8"/>
        <v>2.5203645833333335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10.6194375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41.116</v>
      </c>
      <c r="G9" s="81"/>
      <c r="H9" s="61">
        <f>SUM(L34:L43)</f>
        <v>3</v>
      </c>
      <c r="I9" s="81"/>
      <c r="J9" s="81"/>
      <c r="K9" s="93">
        <f>H9-F9</f>
        <v>-38.116</v>
      </c>
      <c r="L9" s="81"/>
      <c r="M9" s="100"/>
      <c r="P9">
        <v>3</v>
      </c>
      <c r="Q9" s="286">
        <v>260</v>
      </c>
      <c r="R9" s="286">
        <v>4</v>
      </c>
      <c r="S9" s="285" t="str">
        <f>VLOOKUP($Q9,[1]MEP!$A$5:$D$300,3)</f>
        <v>PP bonne Prélevt étalé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2</v>
      </c>
      <c r="W9" s="76">
        <f>VLOOKUP($Q9,[1]MEP!$A$4:$K$300,6)</f>
        <v>1.5</v>
      </c>
      <c r="X9" s="76">
        <f>VLOOKUP($Q9,[1]MEP!$A$4:$K$300,7)</f>
        <v>1.5</v>
      </c>
      <c r="Y9" s="76">
        <f>VLOOKUP($Q9,[1]MEP!$A$4:$K$300,8)</f>
        <v>1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8</v>
      </c>
      <c r="AF9" s="61">
        <f t="shared" si="1"/>
        <v>6</v>
      </c>
      <c r="AG9" s="61">
        <f t="shared" si="2"/>
        <v>6</v>
      </c>
      <c r="AH9" s="61">
        <f t="shared" si="3"/>
        <v>4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6.3317496479591835</v>
      </c>
      <c r="BK9" s="61">
        <f t="shared" si="10"/>
        <v>6.2249184695578226</v>
      </c>
      <c r="BL9" s="61">
        <f t="shared" si="10"/>
        <v>6.0568674695578224</v>
      </c>
      <c r="BM9" s="61">
        <f t="shared" si="10"/>
        <v>4.3376987321428579</v>
      </c>
      <c r="BN9" s="61">
        <f t="shared" si="10"/>
        <v>5.1620088010204084</v>
      </c>
      <c r="BO9" s="61">
        <f t="shared" si="10"/>
        <v>0</v>
      </c>
      <c r="BP9" s="61">
        <f t="shared" si="10"/>
        <v>0</v>
      </c>
      <c r="BR9" s="61">
        <f t="shared" si="9"/>
        <v>28.113243120238096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0.26579494897959188</v>
      </c>
      <c r="AT10" s="61">
        <f t="shared" ref="AT10:BP10" si="11">IF(AT$4=4,AT$5,0)</f>
        <v>0.2400728571428572</v>
      </c>
      <c r="AU10" s="61">
        <f t="shared" si="11"/>
        <v>1.2365476190476192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0.79738484693877543</v>
      </c>
      <c r="BP10" s="61">
        <f t="shared" si="11"/>
        <v>0.79738484693877543</v>
      </c>
      <c r="BR10" s="61">
        <f t="shared" si="9"/>
        <v>3.3371851190476187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2.1700819047619051</v>
      </c>
      <c r="AW11" s="61">
        <f t="shared" si="12"/>
        <v>4.0962809439455787</v>
      </c>
      <c r="AX11" s="61">
        <f t="shared" si="12"/>
        <v>4.0640399506802725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10.330402799387755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0.26579494897959188</v>
      </c>
      <c r="AT15" s="13">
        <f>'Conduite Trp'!H5</f>
        <v>0.2400728571428572</v>
      </c>
      <c r="AU15" s="13">
        <f>'Conduite Trp'!I5</f>
        <v>0.38721428571428573</v>
      </c>
      <c r="AV15" s="13">
        <f>'Conduite Trp'!J5</f>
        <v>1.3207485714285718</v>
      </c>
      <c r="AW15" s="13">
        <f>'Conduite Trp'!K5</f>
        <v>3.1559476106122455</v>
      </c>
      <c r="AX15" s="13">
        <f>'Conduite Trp'!L5</f>
        <v>3.1237066173469392</v>
      </c>
      <c r="AY15" s="13">
        <f>'Conduite Trp'!M5</f>
        <v>5.6165686591836739</v>
      </c>
      <c r="AZ15" s="13">
        <f>'Conduite Trp'!N5</f>
        <v>5.3241019775510212</v>
      </c>
      <c r="BA15" s="13">
        <f>'Conduite Trp'!O5</f>
        <v>3.6803564724489801</v>
      </c>
      <c r="BB15" s="13">
        <f>'Conduite Trp'!P5</f>
        <v>3.9051306208163266</v>
      </c>
      <c r="BC15" s="13">
        <f>'Conduite Trp'!Q5</f>
        <v>6.7484726408163267</v>
      </c>
      <c r="BD15" s="13">
        <f>'Conduite Trp'!R5</f>
        <v>2.6031250000000004</v>
      </c>
      <c r="BE15" s="13">
        <f>'Conduite Trp'!S5</f>
        <v>1.6139375</v>
      </c>
      <c r="BF15" s="13">
        <f>'Conduite Trp'!T5</f>
        <v>1.6139375</v>
      </c>
      <c r="BG15" s="13">
        <f>'Conduite Trp'!U5</f>
        <v>1.3449479166666667</v>
      </c>
      <c r="BH15" s="13">
        <f>'Conduite Trp'!V5</f>
        <v>1.3449479166666667</v>
      </c>
      <c r="BI15" s="13">
        <f>'Conduite Trp'!W5</f>
        <v>0</v>
      </c>
      <c r="BJ15" s="13">
        <f>'Conduite Trp'!X5</f>
        <v>5.193339647959184</v>
      </c>
      <c r="BK15" s="13">
        <f>'Conduite Trp'!Y5</f>
        <v>3.352871802891157</v>
      </c>
      <c r="BL15" s="13">
        <f>'Conduite Trp'!Z5</f>
        <v>3.352871802891157</v>
      </c>
      <c r="BM15" s="13">
        <f>'Conduite Trp'!AA5</f>
        <v>1.9973087321428575</v>
      </c>
      <c r="BN15" s="13">
        <f>'Conduite Trp'!AB5</f>
        <v>3.3095088010204083</v>
      </c>
      <c r="BO15" s="13">
        <f>'Conduite Trp'!AC5</f>
        <v>0.79738484693877543</v>
      </c>
      <c r="BP15" s="13">
        <f>'Conduite Trp'!AD5</f>
        <v>0.79738484693877543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0.8493333333333335</v>
      </c>
      <c r="AW16" s="13">
        <f>'Conduite Trp'!K6</f>
        <v>0.94033333333333347</v>
      </c>
      <c r="AX16" s="13">
        <f>'Conduite Trp'!L6</f>
        <v>0.94033333333333347</v>
      </c>
      <c r="AY16" s="13">
        <f>'Conduite Trp'!M6</f>
        <v>0.91</v>
      </c>
      <c r="AZ16" s="13">
        <f>'Conduite Trp'!N6</f>
        <v>0.91</v>
      </c>
      <c r="BA16" s="13">
        <f>'Conduite Trp'!O6</f>
        <v>0</v>
      </c>
      <c r="BB16" s="13">
        <f>'Conduite Trp'!P6</f>
        <v>0</v>
      </c>
      <c r="BC16" s="13">
        <f>'Conduite Trp'!Q6</f>
        <v>1.1375000000000002</v>
      </c>
      <c r="BD16" s="13">
        <f>'Conduite Trp'!R6</f>
        <v>1.1375000000000002</v>
      </c>
      <c r="BE16" s="13">
        <f>'Conduite Trp'!S6</f>
        <v>1.1754166666666668</v>
      </c>
      <c r="BF16" s="13">
        <f>'Conduite Trp'!T6</f>
        <v>1.1754166666666668</v>
      </c>
      <c r="BG16" s="13">
        <f>'Conduite Trp'!U6</f>
        <v>1.1754166666666668</v>
      </c>
      <c r="BH16" s="13">
        <f>'Conduite Trp'!V6</f>
        <v>1.1754166666666668</v>
      </c>
      <c r="BI16" s="13">
        <f>'Conduite Trp'!W6</f>
        <v>0</v>
      </c>
      <c r="BJ16" s="13">
        <f>'Conduite Trp'!X6</f>
        <v>1.1384099999999999</v>
      </c>
      <c r="BK16" s="13">
        <f>'Conduite Trp'!Y6</f>
        <v>2.872046666666666</v>
      </c>
      <c r="BL16" s="13">
        <f>'Conduite Trp'!Z6</f>
        <v>2.7039956666666658</v>
      </c>
      <c r="BM16" s="13">
        <f>'Conduite Trp'!AA6</f>
        <v>2.3403900000000002</v>
      </c>
      <c r="BN16" s="13">
        <f>'Conduite Trp'!AB6</f>
        <v>1.8525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5.6165686591836739</v>
      </c>
      <c r="AZ19" s="61">
        <f t="shared" si="15"/>
        <v>5.3241019775510212</v>
      </c>
      <c r="BA19" s="61">
        <f t="shared" si="15"/>
        <v>3.6803564724489801</v>
      </c>
      <c r="BB19" s="61">
        <f t="shared" si="15"/>
        <v>3.9051306208163266</v>
      </c>
      <c r="BC19" s="61">
        <f t="shared" si="15"/>
        <v>6.7484726408163267</v>
      </c>
      <c r="BD19" s="61">
        <f t="shared" si="15"/>
        <v>2.6031250000000004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27.877755370816331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1.6139375</v>
      </c>
      <c r="BF20" s="61">
        <f t="shared" si="16"/>
        <v>1.6139375</v>
      </c>
      <c r="BG20" s="61">
        <f t="shared" si="16"/>
        <v>1.3449479166666667</v>
      </c>
      <c r="BH20" s="61">
        <f t="shared" si="16"/>
        <v>1.3449479166666667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5.917770833333333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5.193339647959184</v>
      </c>
      <c r="BK21" s="61">
        <f t="shared" si="18"/>
        <v>3.352871802891157</v>
      </c>
      <c r="BL21" s="61">
        <f t="shared" si="18"/>
        <v>3.352871802891157</v>
      </c>
      <c r="BM21" s="61">
        <f t="shared" si="18"/>
        <v>1.9973087321428575</v>
      </c>
      <c r="BN21" s="61">
        <f t="shared" si="18"/>
        <v>3.3095088010204083</v>
      </c>
      <c r="BO21" s="61">
        <f t="shared" si="18"/>
        <v>0</v>
      </c>
      <c r="BP21" s="61">
        <f t="shared" si="18"/>
        <v>0</v>
      </c>
      <c r="BR21" s="61">
        <f t="shared" si="17"/>
        <v>17.205900786904763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0.26579494897959188</v>
      </c>
      <c r="AT22" s="61">
        <f t="shared" ref="AT22:BP22" si="19">IF(AT$4=4,AT$15,0)</f>
        <v>0.2400728571428572</v>
      </c>
      <c r="AU22" s="61">
        <f t="shared" si="19"/>
        <v>0.38721428571428573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0.79738484693877543</v>
      </c>
      <c r="BP22" s="61">
        <f t="shared" si="19"/>
        <v>0.79738484693877543</v>
      </c>
      <c r="BR22" s="61">
        <f t="shared" si="17"/>
        <v>2.4878517857142857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1.3207485714285718</v>
      </c>
      <c r="AW23" s="61">
        <f t="shared" si="20"/>
        <v>3.1559476106122455</v>
      </c>
      <c r="AX23" s="61">
        <f t="shared" si="20"/>
        <v>3.1237066173469392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7.6004027993877568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34</v>
      </c>
      <c r="E24" s="61">
        <f t="shared" si="21"/>
        <v>11.303599999999999</v>
      </c>
      <c r="F24" s="61">
        <f t="shared" si="21"/>
        <v>28.21</v>
      </c>
      <c r="G24" s="61">
        <f t="shared" si="21"/>
        <v>8</v>
      </c>
      <c r="H24" s="61">
        <f t="shared" si="21"/>
        <v>17.8</v>
      </c>
      <c r="I24" s="61">
        <f t="shared" si="21"/>
        <v>0</v>
      </c>
      <c r="J24" s="63"/>
      <c r="K24" s="61">
        <f>AL27+AL49+AL71</f>
        <v>115.864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31.97275537081633</v>
      </c>
      <c r="E25" s="61">
        <f>BR8</f>
        <v>10.6194375</v>
      </c>
      <c r="F25" s="61">
        <f>BR9</f>
        <v>28.113243120238096</v>
      </c>
      <c r="G25" s="61">
        <f>BR10</f>
        <v>3.3371851190476187</v>
      </c>
      <c r="H25" s="61">
        <f>BR11</f>
        <v>10.330402799387755</v>
      </c>
      <c r="I25" s="61">
        <f>BR12</f>
        <v>0</v>
      </c>
      <c r="J25" s="63"/>
      <c r="K25" s="76">
        <f>'Conduite Trp'!C7</f>
        <v>187.29999999999998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2.0272446291836701</v>
      </c>
      <c r="E27" s="93">
        <f t="shared" si="23"/>
        <v>0.68416249999999934</v>
      </c>
      <c r="F27" s="93">
        <f t="shared" si="23"/>
        <v>9.6756879761905168E-2</v>
      </c>
      <c r="G27" s="93">
        <f t="shared" si="23"/>
        <v>4.6628148809523813</v>
      </c>
      <c r="H27" s="93">
        <f t="shared" si="23"/>
        <v>7.4695972006122453</v>
      </c>
      <c r="I27" s="93">
        <f t="shared" si="23"/>
        <v>0</v>
      </c>
      <c r="J27" s="63"/>
      <c r="K27" s="93">
        <f>K24-K25</f>
        <v>-71.435999999999979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29.25</v>
      </c>
      <c r="AF27" s="75">
        <f t="shared" ref="AF27:AJ27" si="24">SUM(AF7:AF26)</f>
        <v>6</v>
      </c>
      <c r="AG27" s="75">
        <f t="shared" si="24"/>
        <v>17.425000000000001</v>
      </c>
      <c r="AH27" s="75">
        <f t="shared" si="24"/>
        <v>6.9749999999999996</v>
      </c>
      <c r="AI27" s="75">
        <f t="shared" si="24"/>
        <v>9.5</v>
      </c>
      <c r="AJ27" s="75">
        <f t="shared" si="24"/>
        <v>0</v>
      </c>
      <c r="AK27"/>
      <c r="AL27" s="75">
        <f>SUM(AL7:AL26)</f>
        <v>36.450000000000003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0.91</v>
      </c>
      <c r="AZ27" s="61">
        <f t="shared" si="25"/>
        <v>0.91</v>
      </c>
      <c r="BA27" s="61">
        <f t="shared" si="25"/>
        <v>0</v>
      </c>
      <c r="BB27" s="61">
        <f t="shared" si="25"/>
        <v>0</v>
      </c>
      <c r="BC27" s="61">
        <f t="shared" si="25"/>
        <v>1.1375000000000002</v>
      </c>
      <c r="BD27" s="61">
        <f t="shared" si="25"/>
        <v>1.1375000000000002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4.0950000000000006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1.1754166666666668</v>
      </c>
      <c r="BF28" s="61">
        <f t="shared" si="26"/>
        <v>1.1754166666666668</v>
      </c>
      <c r="BG28" s="61">
        <f t="shared" si="26"/>
        <v>1.1754166666666668</v>
      </c>
      <c r="BH28" s="61">
        <f t="shared" si="26"/>
        <v>1.1754166666666668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4.7016666666666671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1.1384099999999999</v>
      </c>
      <c r="BK29" s="61">
        <f t="shared" si="35"/>
        <v>2.872046666666666</v>
      </c>
      <c r="BL29" s="61">
        <f t="shared" si="35"/>
        <v>2.7039956666666658</v>
      </c>
      <c r="BM29" s="61">
        <f t="shared" si="35"/>
        <v>2.3403900000000002</v>
      </c>
      <c r="BN29" s="61">
        <f t="shared" si="35"/>
        <v>1.8525</v>
      </c>
      <c r="BO29" s="61">
        <f t="shared" si="35"/>
        <v>0</v>
      </c>
      <c r="BP29" s="61">
        <f t="shared" si="35"/>
        <v>0</v>
      </c>
      <c r="BR29" s="61">
        <f t="shared" si="27"/>
        <v>10.907342333333332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6.8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5.44</v>
      </c>
      <c r="AH31" s="61">
        <f t="shared" si="31"/>
        <v>0</v>
      </c>
      <c r="AI31" s="61">
        <f t="shared" si="32"/>
        <v>6.8</v>
      </c>
      <c r="AJ31" s="61">
        <f t="shared" si="33"/>
        <v>0</v>
      </c>
      <c r="AK31"/>
      <c r="AL31" s="61">
        <f t="shared" si="34"/>
        <v>34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0.8493333333333335</v>
      </c>
      <c r="AW31" s="61">
        <f t="shared" si="37"/>
        <v>0.94033333333333347</v>
      </c>
      <c r="AX31" s="61">
        <f t="shared" si="37"/>
        <v>0.94033333333333347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2.7300000000000004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260</v>
      </c>
      <c r="R32" s="39">
        <v>0.5</v>
      </c>
      <c r="S32" s="285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1</v>
      </c>
      <c r="AF32" s="61">
        <f t="shared" si="29"/>
        <v>0.75</v>
      </c>
      <c r="AG32" s="61">
        <f t="shared" si="30"/>
        <v>0.75</v>
      </c>
      <c r="AH32" s="61">
        <f t="shared" si="31"/>
        <v>0.5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287</v>
      </c>
      <c r="R33" s="39"/>
      <c r="S33" s="285" t="str">
        <f>VLOOKUP($Q33,[1]MEP!$A$5:$D$300,3)</f>
        <v>PP bonne 2 coupes enrub pat automnal</v>
      </c>
      <c r="T33" s="76" t="str">
        <f>VLOOKUP($Q33,[1]MEP!$A$5:$D$300,4)</f>
        <v>zone 2</v>
      </c>
      <c r="U33" s="76" t="str">
        <f>VLOOKUP($Q33,[1]MEP!$A$4:$K$300,2)</f>
        <v>F/P</v>
      </c>
      <c r="V33" s="76">
        <f>VLOOKUP($Q33,[1]MEP!$A$4:$K$300,5)</f>
        <v>0.5</v>
      </c>
      <c r="W33" s="76">
        <f>VLOOKUP($Q33,[1]MEP!$A$4:$K$300,6)</f>
        <v>0</v>
      </c>
      <c r="X33" s="76">
        <f>VLOOKUP($Q33,[1]MEP!$A$4:$K$300,7)</f>
        <v>1.25</v>
      </c>
      <c r="Y33" s="76">
        <f>VLOOKUP($Q33,[1]MEP!$A$4:$K$300,8)</f>
        <v>0.25</v>
      </c>
      <c r="Z33" s="76">
        <f>VLOOKUP($Q33,[1]MEP!$A$4:$K$300,9)</f>
        <v>0.25</v>
      </c>
      <c r="AA33" s="76">
        <f>VLOOKUP($Q33,[1]MEP!$A$4:$K$300,10)</f>
        <v>0</v>
      </c>
      <c r="AC33" s="76">
        <f>VLOOKUP($Q33,[1]MEP!$A$4:$K$300,11)</f>
        <v>4.2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236</v>
      </c>
      <c r="R34" s="39">
        <v>3.2</v>
      </c>
      <c r="S34" s="285" t="str">
        <f>VLOOKUP($Q34,[1]MEP!$A$5:$D$300,3)</f>
        <v>PP bonne 1 coupe Prtps sans P prtps</v>
      </c>
      <c r="T34" s="76" t="str">
        <f>VLOOKUP($Q34,[1]MEP!$A$5:$D$300,4)</f>
        <v>zone 2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1.423</v>
      </c>
      <c r="X34" s="76">
        <f>VLOOKUP($Q34,[1]MEP!$A$4:$K$300,7)</f>
        <v>0.85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3.27</v>
      </c>
      <c r="AE34" s="61">
        <f t="shared" si="28"/>
        <v>0</v>
      </c>
      <c r="AF34" s="61">
        <f t="shared" si="29"/>
        <v>4.5536000000000003</v>
      </c>
      <c r="AG34" s="61">
        <f t="shared" si="30"/>
        <v>2.72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10.464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4.75</v>
      </c>
      <c r="AF49" s="75">
        <f t="shared" ref="AF49" si="50">SUM(AF29:AF48)</f>
        <v>5.3036000000000003</v>
      </c>
      <c r="AG49" s="75">
        <f t="shared" ref="AG49" si="51">SUM(AG29:AG48)</f>
        <v>10.785000000000002</v>
      </c>
      <c r="AH49" s="75">
        <f t="shared" ref="AH49" si="52">SUM(AH29:AH48)</f>
        <v>1.0249999999999999</v>
      </c>
      <c r="AI49" s="75">
        <f t="shared" ref="AI49" si="53">SUM(AI29:AI48)</f>
        <v>8.3000000000000007</v>
      </c>
      <c r="AJ49" s="75">
        <f t="shared" ref="AJ49" si="54">SUM(AJ29:AJ48)</f>
        <v>0</v>
      </c>
      <c r="AK49"/>
      <c r="AL49" s="75">
        <f>SUM(AL29:AL48)</f>
        <v>79.414000000000001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29.25</v>
      </c>
      <c r="E72" s="61">
        <f t="shared" ref="E72:H72" si="69">AF27</f>
        <v>6</v>
      </c>
      <c r="F72" s="61">
        <f t="shared" si="69"/>
        <v>17.425000000000001</v>
      </c>
      <c r="G72" s="61">
        <f t="shared" si="69"/>
        <v>6.9749999999999996</v>
      </c>
      <c r="H72" s="61">
        <f t="shared" si="69"/>
        <v>9.5</v>
      </c>
      <c r="I72" s="61">
        <f t="shared" ref="I72" si="70">AJ75+AJ97+AJ119</f>
        <v>0</v>
      </c>
      <c r="J72" s="63"/>
      <c r="K72" s="61">
        <f>+K24</f>
        <v>115.864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27.877755370816331</v>
      </c>
      <c r="E73" s="61">
        <f>BR20</f>
        <v>5.917770833333333</v>
      </c>
      <c r="F73" s="61">
        <f>BR21</f>
        <v>17.205900786904763</v>
      </c>
      <c r="G73" s="61">
        <f>BR22</f>
        <v>2.4878517857142857</v>
      </c>
      <c r="H73" s="61">
        <f>BR23</f>
        <v>7.6004027993877568</v>
      </c>
      <c r="I73" s="61">
        <f>BR60</f>
        <v>0</v>
      </c>
      <c r="J73" s="63"/>
      <c r="K73" s="76">
        <f>+K25</f>
        <v>187.29999999999998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1.372244629183669</v>
      </c>
      <c r="E75" s="93">
        <f t="shared" ref="E75:I75" si="71">E72-E73</f>
        <v>8.222916666666702E-2</v>
      </c>
      <c r="F75" s="93">
        <f t="shared" si="71"/>
        <v>0.21909921309523739</v>
      </c>
      <c r="G75" s="93">
        <f t="shared" si="71"/>
        <v>4.487148214285714</v>
      </c>
      <c r="H75" s="93">
        <f t="shared" si="71"/>
        <v>1.8995972006122432</v>
      </c>
      <c r="I75" s="93">
        <f t="shared" si="71"/>
        <v>0</v>
      </c>
      <c r="J75" s="63"/>
      <c r="K75" s="93">
        <f>+K27</f>
        <v>-71.435999999999979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4.75</v>
      </c>
      <c r="E82" s="61">
        <f t="shared" ref="E82:H82" si="72">AF49</f>
        <v>5.3036000000000003</v>
      </c>
      <c r="F82" s="61">
        <f t="shared" si="72"/>
        <v>10.785000000000002</v>
      </c>
      <c r="G82" s="61">
        <f t="shared" si="72"/>
        <v>1.0249999999999999</v>
      </c>
      <c r="H82" s="61">
        <f t="shared" si="72"/>
        <v>8.3000000000000007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4.0950000000000006</v>
      </c>
      <c r="E83" s="61">
        <f>BR28</f>
        <v>4.7016666666666671</v>
      </c>
      <c r="F83" s="61">
        <f>BR29</f>
        <v>10.907342333333332</v>
      </c>
      <c r="G83" s="61">
        <f>BR30</f>
        <v>0.8493333333333335</v>
      </c>
      <c r="H83" s="61">
        <f>BR31</f>
        <v>2.7300000000000004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0.65499999999999936</v>
      </c>
      <c r="E85" s="93">
        <f t="shared" ref="E85:H85" si="73">E82-E83</f>
        <v>0.60193333333333321</v>
      </c>
      <c r="F85" s="93">
        <f t="shared" si="73"/>
        <v>-0.12234233333333044</v>
      </c>
      <c r="G85" s="93">
        <f t="shared" si="73"/>
        <v>0.17566666666666642</v>
      </c>
      <c r="H85" s="93">
        <f t="shared" si="73"/>
        <v>5.57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2023-01-16T17:46:26Z</dcterms:modified>
</cp:coreProperties>
</file>