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8160" windowHeight="4245" firstSheet="1" activeTab="7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39" r:id="rId19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C10" i="30"/>
  <c r="X9" i="30"/>
  <c r="W9" i="30"/>
  <c r="V9" i="30"/>
  <c r="U9" i="30"/>
  <c r="T9" i="30"/>
  <c r="S9" i="30"/>
  <c r="R9" i="30"/>
  <c r="Q9" i="30"/>
  <c r="P9" i="30"/>
  <c r="O9" i="30"/>
  <c r="N9" i="30"/>
  <c r="L9" i="30"/>
  <c r="K9" i="30"/>
  <c r="J9" i="30"/>
  <c r="I9" i="30"/>
  <c r="H9" i="30"/>
  <c r="D9" i="30"/>
  <c r="C9" i="30"/>
  <c r="X8" i="30"/>
  <c r="W8" i="30"/>
  <c r="V8" i="30"/>
  <c r="U8" i="30"/>
  <c r="T8" i="30"/>
  <c r="S8" i="30"/>
  <c r="R8" i="30"/>
  <c r="Q8" i="30"/>
  <c r="P8" i="30"/>
  <c r="O8" i="30"/>
  <c r="N8" i="30"/>
  <c r="L8" i="30"/>
  <c r="K8" i="30"/>
  <c r="J8" i="30"/>
  <c r="I8" i="30"/>
  <c r="H8" i="30"/>
  <c r="D8" i="30"/>
  <c r="C8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J72" i="32" s="1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N50" i="32"/>
  <c r="BM50" i="32"/>
  <c r="BL50" i="32"/>
  <c r="BK50" i="32"/>
  <c r="BJ50" i="32"/>
  <c r="BI50" i="32"/>
  <c r="BI72" i="32" s="1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AT40" i="31"/>
  <c r="BS39" i="31"/>
  <c r="BR39" i="31"/>
  <c r="BR92" i="31" s="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T83" i="30"/>
  <c r="S83" i="30"/>
  <c r="R83" i="30"/>
  <c r="Q83" i="30"/>
  <c r="Q20" i="30" s="1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AL207" i="33"/>
  <c r="D210" i="33" s="1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P89" i="33" s="1"/>
  <c r="CA88" i="33"/>
  <c r="CA87" i="33"/>
  <c r="AU96" i="33"/>
  <c r="AU95" i="33"/>
  <c r="AU94" i="33"/>
  <c r="AU93" i="33"/>
  <c r="AU92" i="33"/>
  <c r="AU91" i="33"/>
  <c r="AU90" i="33"/>
  <c r="AU89" i="33"/>
  <c r="AU88" i="33"/>
  <c r="AU87" i="33"/>
  <c r="C83" i="33"/>
  <c r="C62" i="33"/>
  <c r="D62" i="33" s="1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V263" i="32"/>
  <c r="J46" i="32" s="1"/>
  <c r="C210" i="33" s="1"/>
  <c r="T254" i="32"/>
  <c r="T260" i="32" s="1"/>
  <c r="U260" i="32" s="1"/>
  <c r="T246" i="32"/>
  <c r="B166" i="32" s="1"/>
  <c r="T245" i="32"/>
  <c r="X245" i="32" s="1"/>
  <c r="T240" i="32"/>
  <c r="T273" i="32" s="1"/>
  <c r="T236" i="32"/>
  <c r="C188" i="33" s="1"/>
  <c r="D188" i="33" s="1"/>
  <c r="T235" i="32"/>
  <c r="T274" i="32" s="1"/>
  <c r="B167" i="32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D16" i="31" s="1"/>
  <c r="F16" i="31" s="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5" i="30"/>
  <c r="AK22" i="30"/>
  <c r="AK21" i="30"/>
  <c r="AK20" i="30"/>
  <c r="AH22" i="30"/>
  <c r="AE22" i="30"/>
  <c r="AD22" i="30"/>
  <c r="AD20" i="30"/>
  <c r="AF20" i="30" s="1"/>
  <c r="AD13" i="30"/>
  <c r="AD14" i="30" s="1"/>
  <c r="T233" i="32" s="1"/>
  <c r="T271" i="32" s="1"/>
  <c r="AJ8" i="30"/>
  <c r="B81" i="31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X90" i="33"/>
  <c r="CP90" i="33"/>
  <c r="CO90" i="33"/>
  <c r="CM90" i="33"/>
  <c r="CH90" i="33"/>
  <c r="CY90" i="33"/>
  <c r="BZ90" i="33"/>
  <c r="BZ154" i="33" s="1"/>
  <c r="BS90" i="33"/>
  <c r="BP90" i="33"/>
  <c r="BH90" i="33"/>
  <c r="BD90" i="33"/>
  <c r="BC90" i="33"/>
  <c r="AZ90" i="33"/>
  <c r="CT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O72" i="32"/>
  <c r="BN72" i="32"/>
  <c r="BM72" i="32"/>
  <c r="BH61" i="32"/>
  <c r="BH72" i="32" s="1"/>
  <c r="BE72" i="32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N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J7" i="30"/>
  <c r="J12" i="30" s="1"/>
  <c r="Z5" i="30"/>
  <c r="Z9" i="30" s="1"/>
  <c r="Y5" i="30"/>
  <c r="Y9" i="30" s="1"/>
  <c r="X5" i="30"/>
  <c r="W5" i="30"/>
  <c r="V5" i="30"/>
  <c r="U5" i="30"/>
  <c r="T5" i="30"/>
  <c r="Q5" i="30"/>
  <c r="P5" i="30"/>
  <c r="O5" i="30"/>
  <c r="N5" i="30"/>
  <c r="M5" i="30"/>
  <c r="M9" i="30" s="1"/>
  <c r="L5" i="30"/>
  <c r="K5" i="30"/>
  <c r="J5" i="30"/>
  <c r="I5" i="30"/>
  <c r="H5" i="30"/>
  <c r="E5" i="30"/>
  <c r="E9" i="30" s="1"/>
  <c r="D5" i="30"/>
  <c r="C5" i="30"/>
  <c r="Z4" i="30"/>
  <c r="Y4" i="30"/>
  <c r="X4" i="30"/>
  <c r="W4" i="30"/>
  <c r="V4" i="30"/>
  <c r="U4" i="30"/>
  <c r="T4" i="30"/>
  <c r="T2" i="30" s="1"/>
  <c r="P4" i="30"/>
  <c r="O4" i="30"/>
  <c r="N4" i="30"/>
  <c r="M4" i="30"/>
  <c r="L4" i="30"/>
  <c r="L2" i="30" s="1"/>
  <c r="K4" i="30"/>
  <c r="J4" i="30"/>
  <c r="I4" i="30"/>
  <c r="H4" i="30"/>
  <c r="E4" i="30"/>
  <c r="D4" i="30"/>
  <c r="D2" i="30" s="1"/>
  <c r="C4" i="30"/>
  <c r="Z3" i="30"/>
  <c r="Y3" i="30"/>
  <c r="X3" i="30"/>
  <c r="W3" i="30"/>
  <c r="V3" i="30"/>
  <c r="V201" i="30" s="1"/>
  <c r="U3" i="30"/>
  <c r="U2" i="30" s="1"/>
  <c r="T3" i="30"/>
  <c r="P3" i="30"/>
  <c r="P201" i="30" s="1"/>
  <c r="O3" i="30"/>
  <c r="N3" i="30"/>
  <c r="M3" i="30"/>
  <c r="L3" i="30"/>
  <c r="K3" i="30"/>
  <c r="J3" i="30"/>
  <c r="I3" i="30"/>
  <c r="H3" i="30"/>
  <c r="H201" i="30" s="1"/>
  <c r="E3" i="30"/>
  <c r="D3" i="30"/>
  <c r="C3" i="30"/>
  <c r="V2" i="30"/>
  <c r="K2" i="30"/>
  <c r="C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D225" i="33" l="1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AA164" i="29" s="1"/>
  <c r="Z164" i="29"/>
  <c r="Y164" i="29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X170" i="32"/>
  <c r="T169" i="29"/>
  <c r="Z169" i="29"/>
  <c r="AC169" i="29" s="1"/>
  <c r="X169" i="29"/>
  <c r="AA169" i="29" s="1"/>
  <c r="Y169" i="29"/>
  <c r="AB169" i="29" s="1"/>
  <c r="X169" i="32"/>
  <c r="Y169" i="32"/>
  <c r="AB169" i="32" s="1"/>
  <c r="T169" i="32"/>
  <c r="Z169" i="32"/>
  <c r="AC169" i="32" s="1"/>
  <c r="BZ29" i="31"/>
  <c r="BZ93" i="31" s="1"/>
  <c r="CL89" i="33"/>
  <c r="T257" i="32"/>
  <c r="U257" i="32" s="1"/>
  <c r="B129" i="31"/>
  <c r="F86" i="31"/>
  <c r="E2" i="30"/>
  <c r="E8" i="30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5" i="30"/>
  <c r="F9" i="30" s="1"/>
  <c r="G3" i="30"/>
  <c r="G5" i="30"/>
  <c r="G9" i="30" s="1"/>
  <c r="G4" i="30"/>
  <c r="F8" i="30"/>
  <c r="F201" i="30" s="1"/>
  <c r="F212" i="30" s="1"/>
  <c r="F2" i="30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V212" i="30"/>
  <c r="C186" i="33"/>
  <c r="D186" i="33" s="1"/>
  <c r="AJ217" i="33" s="1"/>
  <c r="AN217" i="33" s="1"/>
  <c r="AC164" i="29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T201" i="30"/>
  <c r="T212" i="30" s="1"/>
  <c r="U199" i="32"/>
  <c r="J166" i="32"/>
  <c r="C234" i="33" s="1"/>
  <c r="D234" i="33" s="1"/>
  <c r="F75" i="31"/>
  <c r="AJ199" i="32"/>
  <c r="AA27" i="29"/>
  <c r="J201" i="30"/>
  <c r="J212" i="30" s="1"/>
  <c r="K201" i="30"/>
  <c r="K212" i="30" s="1"/>
  <c r="F76" i="31"/>
  <c r="J167" i="32"/>
  <c r="C235" i="33" s="1"/>
  <c r="F77" i="3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O201" i="30"/>
  <c r="O212" i="30" s="1"/>
  <c r="Q4" i="30"/>
  <c r="Q2" i="30" s="1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S3" i="30"/>
  <c r="S4" i="30"/>
  <c r="S5" i="30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N201" i="30"/>
  <c r="N212" i="30" s="1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7" i="30"/>
  <c r="I12" i="30" s="1"/>
  <c r="I21" i="30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E201" i="30"/>
  <c r="E212" i="30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U201" i="30"/>
  <c r="U212" i="30" s="1"/>
  <c r="C6" i="30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C189" i="33"/>
  <c r="D189" i="33" s="1"/>
  <c r="AK189" i="33" s="1"/>
  <c r="AO189" i="33" s="1"/>
  <c r="H212" i="30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AF22" i="30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P212" i="30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O15" i="30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AX61" i="31"/>
  <c r="AX107" i="31" s="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O1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G2" i="30"/>
  <c r="W2" i="30"/>
  <c r="C183" i="33"/>
  <c r="C185" i="33" s="1"/>
  <c r="D185" i="33" s="1"/>
  <c r="T234" i="32"/>
  <c r="T272" i="32" s="1"/>
  <c r="B83" i="31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D251" i="33" s="1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F81" i="31"/>
  <c r="B114" i="31" s="1"/>
  <c r="AA169" i="32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D279" i="33" s="1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B170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0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A166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B164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U166" i="29" l="1"/>
  <c r="V166" i="29"/>
  <c r="AD170" i="32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AK231" i="33"/>
  <c r="AO231" i="33" s="1"/>
  <c r="AR231" i="33" s="1"/>
  <c r="AS231" i="33" s="1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AO192" i="33"/>
  <c r="Q201" i="30"/>
  <c r="Q212" i="30" s="1"/>
  <c r="S2" i="30"/>
  <c r="S201" i="30"/>
  <c r="S212" i="30" s="1"/>
  <c r="R201" i="30"/>
  <c r="R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E18" i="30" s="1"/>
  <c r="CQ63" i="31"/>
  <c r="DM84" i="31"/>
  <c r="D57" i="30"/>
  <c r="D62" i="30"/>
  <c r="C41" i="33"/>
  <c r="D41" i="33" s="1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F84" i="31"/>
  <c r="F83" i="31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AX117" i="31"/>
  <c r="I5" i="31" s="1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2" i="31"/>
  <c r="BD81" i="31"/>
  <c r="BD84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X248" i="32"/>
  <c r="J141" i="32"/>
  <c r="C219" i="33" s="1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X272" i="32"/>
  <c r="X234" i="32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H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M18" i="30" s="1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AT231" i="33" l="1"/>
  <c r="AW231" i="33" s="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X237" i="32"/>
  <c r="AA237" i="32" s="1"/>
  <c r="AB237" i="32" s="1"/>
  <c r="C307" i="33"/>
  <c r="U18" i="30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J142" i="32"/>
  <c r="C220" i="33" s="1"/>
  <c r="Y22" i="30"/>
  <c r="Y180" i="30"/>
  <c r="Y195" i="30" s="1"/>
  <c r="AC75" i="31" s="1"/>
  <c r="U42" i="30"/>
  <c r="U28" i="30" s="1"/>
  <c r="U33" i="30" s="1"/>
  <c r="I32" i="30"/>
  <c r="U22" i="30"/>
  <c r="U180" i="30"/>
  <c r="U195" i="30" s="1"/>
  <c r="Y75" i="31" s="1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M180" i="30"/>
  <c r="M195" i="30" s="1"/>
  <c r="Q75" i="31" s="1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I64" i="30" s="1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D64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S85" i="31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K22" i="30"/>
  <c r="V18" i="30"/>
  <c r="DS85" i="31"/>
  <c r="G64" i="30"/>
  <c r="O60" i="30"/>
  <c r="BJ85" i="31"/>
  <c r="C18" i="30"/>
  <c r="AZ85" i="31"/>
  <c r="CG85" i="31"/>
  <c r="N55" i="30"/>
  <c r="N53" i="30"/>
  <c r="I53" i="30"/>
  <c r="W60" i="30"/>
  <c r="W64" i="30" s="1"/>
  <c r="L53" i="30"/>
  <c r="DG85" i="31"/>
  <c r="T53" i="30"/>
  <c r="W39" i="30"/>
  <c r="W18" i="30"/>
  <c r="F18" i="30"/>
  <c r="AY85" i="31"/>
  <c r="DV85" i="31"/>
  <c r="C192" i="33"/>
  <c r="C276" i="33" s="1"/>
  <c r="B115" i="31"/>
  <c r="B126" i="31" s="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Q64" i="30" s="1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I228" i="29" l="1"/>
  <c r="C243" i="33"/>
  <c r="D243" i="33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Y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C244" i="33"/>
  <c r="D244" i="33" s="1"/>
  <c r="AC237" i="32"/>
  <c r="AF237" i="32" s="1"/>
  <c r="B178" i="32" s="1"/>
  <c r="C240" i="33" s="1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C278" i="33"/>
  <c r="B113" i="31"/>
  <c r="B125" i="31" s="1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BL102" i="31"/>
  <c r="W9" i="31" s="1"/>
  <c r="CN102" i="31"/>
  <c r="S10" i="31" s="1"/>
  <c r="BM102" i="31"/>
  <c r="X9" i="31" s="1"/>
  <c r="CO102" i="31"/>
  <c r="T10" i="31" s="1"/>
  <c r="T13" i="31" s="1"/>
  <c r="BF102" i="31"/>
  <c r="Q9" i="31" s="1"/>
  <c r="Q13" i="31" s="1"/>
  <c r="R13" i="31"/>
  <c r="S13" i="31"/>
  <c r="CS102" i="31"/>
  <c r="X10" i="31" s="1"/>
  <c r="H13" i="31"/>
  <c r="K13" i="31"/>
  <c r="AD13" i="31"/>
  <c r="AC13" i="31"/>
  <c r="O13" i="31"/>
  <c r="L13" i="31"/>
  <c r="U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D203" i="30"/>
  <c r="AJ5" i="30" s="1"/>
  <c r="X249" i="32" s="1"/>
  <c r="C193" i="33"/>
  <c r="D193" i="33" s="1"/>
  <c r="C277" i="33"/>
  <c r="C293" i="33"/>
  <c r="D278" i="33"/>
  <c r="C291" i="33"/>
  <c r="G13" i="31"/>
  <c r="C230" i="33"/>
  <c r="J170" i="32"/>
  <c r="W13" i="31"/>
  <c r="F11" i="31"/>
  <c r="F10" i="31" l="1"/>
  <c r="F9" i="31"/>
  <c r="X13" i="31"/>
  <c r="F13" i="31" s="1"/>
  <c r="C270" i="33"/>
  <c r="B108" i="31"/>
  <c r="B123" i="31" s="1"/>
  <c r="V265" i="32"/>
  <c r="V264" i="32"/>
  <c r="D293" i="33"/>
  <c r="D291" i="33"/>
  <c r="D277" i="33"/>
  <c r="C290" i="33"/>
  <c r="C249" i="33"/>
  <c r="B92" i="31"/>
  <c r="D92" i="31" s="1"/>
  <c r="C248" i="33"/>
  <c r="B91" i="31"/>
  <c r="D91" i="31" s="1"/>
  <c r="C250" i="33"/>
  <c r="B93" i="31"/>
  <c r="D93" i="31" s="1"/>
  <c r="C236" i="33"/>
  <c r="C289" i="33" l="1"/>
  <c r="B94" i="31"/>
  <c r="A106" i="32" l="1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AC78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C82" i="33" l="1"/>
  <c r="D163" i="33" s="1"/>
  <c r="AB40" i="32"/>
  <c r="AD40" i="32" s="1"/>
  <c r="AE40" i="32" s="1"/>
  <c r="AB39" i="32"/>
  <c r="AB38" i="32"/>
  <c r="B43" i="32"/>
  <c r="J43" i="32" s="1"/>
  <c r="C207" i="33" s="1"/>
  <c r="D200" i="33"/>
  <c r="D150" i="33"/>
  <c r="G63" i="33"/>
  <c r="D88" i="33"/>
  <c r="K261" i="33" s="1"/>
  <c r="D74" i="33"/>
  <c r="D139" i="33"/>
  <c r="D147" i="33"/>
  <c r="D69" i="33"/>
  <c r="D213" i="33"/>
  <c r="D215" i="33"/>
  <c r="D219" i="33"/>
  <c r="D85" i="33"/>
  <c r="K258" i="33" s="1"/>
  <c r="L225" i="33"/>
  <c r="D146" i="33"/>
  <c r="D230" i="33"/>
  <c r="J42" i="32"/>
  <c r="C206" i="33" s="1"/>
  <c r="B44" i="32"/>
  <c r="J44" i="32" s="1"/>
  <c r="C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J218" i="33" l="1"/>
  <c r="D168" i="33"/>
  <c r="D66" i="33"/>
  <c r="D228" i="33"/>
  <c r="D91" i="33"/>
  <c r="D92" i="33"/>
  <c r="D204" i="33"/>
  <c r="D226" i="33"/>
  <c r="D87" i="33"/>
  <c r="K260" i="33" s="1"/>
  <c r="D95" i="33"/>
  <c r="D167" i="33"/>
  <c r="J216" i="33"/>
  <c r="D90" i="33"/>
  <c r="K254" i="33" s="1"/>
  <c r="L254" i="33" s="1"/>
  <c r="O254" i="33" s="1"/>
  <c r="D89" i="33"/>
  <c r="K262" i="33" s="1"/>
  <c r="O262" i="33" s="1"/>
  <c r="D165" i="33"/>
  <c r="D196" i="33"/>
  <c r="D232" i="33"/>
  <c r="D233" i="33"/>
  <c r="D72" i="33"/>
  <c r="D76" i="33"/>
  <c r="D77" i="33"/>
  <c r="D140" i="33"/>
  <c r="D81" i="33"/>
  <c r="J205" i="33" s="1"/>
  <c r="L205" i="33" s="1"/>
  <c r="D222" i="33"/>
  <c r="L223" i="33"/>
  <c r="AJ198" i="33" s="1"/>
  <c r="AJ203" i="33" s="1"/>
  <c r="AK203" i="33" s="1"/>
  <c r="D166" i="33"/>
  <c r="D86" i="33"/>
  <c r="K259" i="33" s="1"/>
  <c r="D65" i="33"/>
  <c r="J193" i="33" s="1"/>
  <c r="J194" i="33" s="1"/>
  <c r="I199" i="33" s="1"/>
  <c r="J199" i="33" s="1"/>
  <c r="J217" i="33"/>
  <c r="J220" i="33" s="1"/>
  <c r="J221" i="33" s="1"/>
  <c r="L210" i="33" s="1"/>
  <c r="D227" i="33"/>
  <c r="L224" i="33"/>
  <c r="D80" i="33"/>
  <c r="J206" i="33" s="1"/>
  <c r="L206" i="33" s="1"/>
  <c r="D78" i="33"/>
  <c r="D169" i="33"/>
  <c r="D231" i="33"/>
  <c r="D68" i="33"/>
  <c r="D64" i="33"/>
  <c r="Q193" i="33" s="1"/>
  <c r="Q194" i="33" s="1"/>
  <c r="P199" i="33" s="1"/>
  <c r="Q199" i="33" s="1"/>
  <c r="D141" i="33"/>
  <c r="D94" i="33"/>
  <c r="D96" i="33"/>
  <c r="D164" i="33"/>
  <c r="D71" i="33"/>
  <c r="D73" i="33"/>
  <c r="K255" i="33" s="1"/>
  <c r="D217" i="33"/>
  <c r="D93" i="33"/>
  <c r="D229" i="33"/>
  <c r="D79" i="33"/>
  <c r="D63" i="33"/>
  <c r="W193" i="33" s="1"/>
  <c r="W194" i="33" s="1"/>
  <c r="D198" i="33"/>
  <c r="D205" i="33"/>
  <c r="D208" i="33"/>
  <c r="D206" i="33"/>
  <c r="D75" i="33"/>
  <c r="K257" i="33" s="1"/>
  <c r="AJ200" i="33"/>
  <c r="AK200" i="33" s="1"/>
  <c r="L258" i="33"/>
  <c r="O258" i="33" s="1"/>
  <c r="K256" i="33"/>
  <c r="L261" i="33"/>
  <c r="D270" i="33" s="1"/>
  <c r="L260" i="33"/>
  <c r="D269" i="33" s="1"/>
  <c r="L259" i="33"/>
  <c r="O259" i="33" s="1"/>
  <c r="L255" i="33"/>
  <c r="O255" i="33" s="1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J201" i="33" l="1"/>
  <c r="AK201" i="33" s="1"/>
  <c r="AJ204" i="33"/>
  <c r="AK204" i="33" s="1"/>
  <c r="P198" i="33"/>
  <c r="Q198" i="33" s="1"/>
  <c r="Q200" i="33" s="1"/>
  <c r="D202" i="33" s="1"/>
  <c r="D271" i="33"/>
  <c r="I200" i="33"/>
  <c r="J200" i="33" s="1"/>
  <c r="I198" i="33"/>
  <c r="J198" i="33" s="1"/>
  <c r="L209" i="33"/>
  <c r="L211" i="33" s="1"/>
  <c r="L212" i="33" s="1"/>
  <c r="AP198" i="33"/>
  <c r="AP201" i="33" s="1"/>
  <c r="AQ201" i="33" s="1"/>
  <c r="AJ202" i="33"/>
  <c r="AK20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0" i="33"/>
  <c r="AQ200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AP203" i="33" l="1"/>
  <c r="AQ203" i="33" s="1"/>
  <c r="AP202" i="33"/>
  <c r="AQ202" i="33" s="1"/>
  <c r="AP204" i="33"/>
  <c r="AQ204" i="33" s="1"/>
  <c r="T208" i="33"/>
  <c r="D207" i="33"/>
  <c r="BM160" i="33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44" i="33" l="1"/>
  <c r="CW178" i="33"/>
  <c r="DS146" i="33"/>
  <c r="DS147" i="33" s="1"/>
  <c r="BL144" i="33"/>
  <c r="DG146" i="33"/>
  <c r="BE178" i="33"/>
  <c r="DW146" i="33"/>
  <c r="DW148" i="33" s="1"/>
  <c r="CC178" i="33"/>
  <c r="BL143" i="33"/>
  <c r="BL142" i="33"/>
  <c r="BM178" i="33"/>
  <c r="CX145" i="33"/>
  <c r="BF178" i="33"/>
  <c r="DR146" i="33"/>
  <c r="DR148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Y146" i="33"/>
  <c r="DY148" i="33" s="1"/>
  <c r="CD143" i="33"/>
  <c r="DK146" i="33"/>
  <c r="DK147" i="33" s="1"/>
  <c r="BC145" i="33"/>
  <c r="BD178" i="33"/>
  <c r="BO178" i="33"/>
  <c r="BI146" i="33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DY147" i="33"/>
  <c r="BS143" i="33"/>
  <c r="BS145" i="33"/>
  <c r="BS142" i="33"/>
  <c r="BS144" i="33"/>
  <c r="CD178" i="33"/>
  <c r="AW178" i="33"/>
  <c r="BI147" i="33"/>
  <c r="BI14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G148" i="33"/>
  <c r="DG147" i="33"/>
  <c r="DM148" i="33"/>
  <c r="DM147" i="33"/>
  <c r="BC144" i="33"/>
  <c r="BC142" i="33"/>
  <c r="BC143" i="33"/>
  <c r="AX178" i="33"/>
  <c r="CT144" i="33"/>
  <c r="CT145" i="33"/>
  <c r="CT143" i="33"/>
  <c r="CT142" i="33"/>
  <c r="DR147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S148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W147" i="33" l="1"/>
  <c r="DW163" i="33" s="1"/>
  <c r="BJ147" i="33"/>
  <c r="BG148" i="33"/>
  <c r="BG163" i="33" s="1"/>
  <c r="DE148" i="33"/>
  <c r="DE163" i="33" s="1"/>
  <c r="DR163" i="33"/>
  <c r="BL146" i="33"/>
  <c r="BL148" i="33" s="1"/>
  <c r="CG146" i="33"/>
  <c r="CG147" i="33" s="1"/>
  <c r="BC146" i="33"/>
  <c r="BC148" i="33" s="1"/>
  <c r="DG163" i="33"/>
  <c r="DK148" i="33"/>
  <c r="DK163" i="33" s="1"/>
  <c r="CX146" i="33"/>
  <c r="CX147" i="33" s="1"/>
  <c r="DX147" i="33"/>
  <c r="DX163" i="33" s="1"/>
  <c r="BJ163" i="33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BL163" i="33" s="1"/>
  <c r="CG148" i="33"/>
  <c r="BQ148" i="33"/>
  <c r="BN147" i="33"/>
  <c r="BN163" i="33" s="1"/>
  <c r="BC147" i="33"/>
  <c r="BC163" i="33" s="1"/>
  <c r="CX148" i="33"/>
  <c r="CX163" i="33" s="1"/>
  <c r="CG163" i="33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BQ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AK26" i="30" s="1"/>
  <c r="C184" i="33" s="1"/>
  <c r="D184" i="33" s="1"/>
  <c r="D183" i="33" s="1"/>
  <c r="AJ216" i="33" s="1"/>
  <c r="AN216" i="33" s="1"/>
  <c r="D220" i="33" s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K225" i="33" l="1"/>
  <c r="AO225" i="33" s="1"/>
  <c r="AO228" i="33" s="1"/>
  <c r="AR228" i="33" s="1"/>
  <c r="AS228" i="33" s="1"/>
  <c r="AT228" i="33" s="1"/>
  <c r="AW228" i="33" s="1"/>
  <c r="D240" i="33" s="1"/>
  <c r="D192" i="33"/>
  <c r="D235" i="33" s="1"/>
  <c r="D236" i="33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276" i="33" l="1"/>
  <c r="D290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Q201" i="18" l="1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29" i="23" l="1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C292" i="33" s="1"/>
  <c r="D285" i="33"/>
  <c r="D287" i="33"/>
  <c r="D292" i="33" s="1"/>
  <c r="D294" i="33" s="1"/>
  <c r="C142" i="33"/>
  <c r="D142" i="33" s="1"/>
  <c r="D119" i="31"/>
  <c r="B122" i="31"/>
  <c r="B128" i="31" s="1"/>
  <c r="B130" i="31" s="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C294" i="33" l="1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K27" i="23" l="1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211" i="33" l="1"/>
  <c r="C154" i="33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<sst xmlns="http://schemas.openxmlformats.org/spreadsheetml/2006/main" count="3045" uniqueCount="1475">
  <si>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</si>
  <si>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</si>
  <si>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</si>
  <si>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</si>
  <si>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</si>
  <si>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</si>
  <si>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</si>
  <si>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</si>
  <si>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</si>
  <si>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</si>
  <si>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</si>
  <si>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</si>
  <si>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</si>
  <si>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</si>
  <si>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</si>
  <si>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</si>
  <si>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</si>
  <si>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</si>
  <si>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</si>
  <si>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</si>
  <si>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</si>
  <si>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</si>
  <si>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</si>
  <si>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</si>
  <si>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</si>
  <si>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</si>
  <si>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</si>
  <si>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</si>
  <si>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</si>
  <si>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</si>
  <si>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</si>
  <si>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</si>
  <si>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</si>
  <si>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</si>
  <si>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</si>
  <si>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</si>
  <si>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</si>
  <si>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</si>
  <si>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</si>
  <si>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</si>
  <si>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</si>
  <si>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</si>
  <si>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</si>
  <si>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</si>
  <si>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</si>
  <si>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</si>
  <si>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</si>
  <si>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</si>
  <si>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</si>
  <si>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</si>
  <si>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</si>
  <si>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</si>
  <si>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</si>
  <si>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</si>
  <si>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</si>
  <si>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</si>
  <si>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</si>
  <si>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</si>
  <si>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</si>
  <si>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</si>
  <si>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</si>
  <si>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</si>
  <si>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</si>
  <si>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</si>
  <si>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</si>
  <si>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</si>
  <si>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</si>
  <si>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</si>
  <si>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</si>
  <si>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</si>
  <si>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</si>
  <si>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</si>
  <si>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</si>
  <si>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</si>
  <si>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</si>
  <si>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</si>
  <si>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</si>
  <si>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</si>
  <si>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</si>
  <si>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</si>
  <si>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</si>
  <si>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</si>
  <si>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</si>
  <si>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</si>
  <si>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</si>
  <si>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</si>
  <si>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</si>
  <si>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</si>
  <si>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</si>
  <si>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</si>
  <si>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</si>
  <si>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</si>
  <si>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</si>
  <si>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</si>
  <si>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</si>
  <si>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</si>
  <si>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</si>
  <si>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</si>
  <si>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</si>
  <si>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</si>
  <si>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</si>
  <si>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</si>
  <si>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</si>
  <si>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</si>
  <si>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</si>
  <si>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</si>
  <si>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</si>
  <si>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</si>
  <si>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</si>
  <si>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</si>
  <si>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</si>
  <si>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</si>
  <si>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</si>
  <si>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</si>
  <si>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</si>
  <si>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</si>
  <si>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</si>
  <si>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</si>
  <si>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</si>
  <si>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</si>
  <si>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</si>
  <si>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</si>
  <si>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</si>
  <si>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</si>
  <si>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</si>
  <si>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</si>
  <si>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</si>
  <si>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</si>
  <si>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</si>
  <si>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</si>
  <si>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</si>
  <si>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</si>
  <si>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</si>
  <si>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</si>
  <si>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</si>
  <si>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</si>
  <si>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</si>
  <si>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</si>
  <si>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</si>
  <si>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</si>
  <si>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</si>
  <si>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</si>
  <si>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</si>
  <si>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</si>
  <si>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</si>
  <si>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</si>
  <si>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</si>
  <si>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</si>
  <si>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</si>
  <si>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</si>
  <si>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</si>
  <si>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</si>
  <si>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</si>
  <si>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</si>
  <si>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</si>
  <si>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</si>
  <si>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</si>
  <si>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</si>
  <si>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</si>
  <si>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</si>
  <si>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</si>
  <si>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</si>
  <si>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</si>
  <si>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</si>
  <si>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</si>
  <si>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</si>
  <si>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</si>
  <si>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</si>
  <si>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</si>
  <si>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</si>
  <si>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</si>
  <si>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</si>
  <si>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</si>
  <si>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</si>
  <si>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</si>
  <si>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</si>
  <si>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</si>
  <si>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</si>
  <si>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</si>
  <si>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</si>
  <si>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</si>
  <si>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</si>
  <si>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</si>
  <si>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</si>
  <si>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</si>
  <si>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</si>
  <si>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</si>
  <si>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</si>
  <si>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</si>
  <si>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</si>
  <si>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</si>
  <si>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</si>
  <si>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</si>
  <si>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</si>
  <si>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</si>
  <si>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</si>
  <si>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</si>
  <si>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</si>
  <si>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</si>
  <si>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</si>
  <si>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</si>
  <si>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</si>
  <si>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</si>
  <si>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</si>
  <si>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</si>
  <si>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</si>
  <si>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</si>
  <si>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</si>
  <si>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</si>
  <si>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</si>
  <si>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</si>
  <si>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</si>
  <si>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</si>
  <si>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</si>
  <si>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</si>
  <si>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</si>
  <si>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</si>
  <si>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</si>
  <si>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</si>
  <si>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</si>
  <si>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</si>
  <si>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</si>
  <si>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</si>
  <si>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</si>
  <si>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</si>
  <si>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</si>
  <si>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</si>
  <si>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</si>
  <si>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</si>
  <si>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</si>
  <si>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</si>
  <si>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</si>
  <si>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</si>
  <si>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</si>
  <si>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</si>
  <si>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</si>
  <si>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</si>
  <si>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</si>
  <si>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</si>
  <si>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</si>
  <si>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</si>
  <si>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</si>
  <si>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</si>
  <si>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</si>
  <si>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</si>
  <si>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</si>
  <si>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</si>
  <si>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</si>
  <si>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</si>
  <si>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</si>
  <si>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</si>
  <si>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</si>
  <si>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</si>
  <si>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</si>
  <si>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</si>
  <si>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</si>
  <si>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</si>
  <si>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</si>
  <si>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</si>
  <si>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</si>
  <si>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</si>
  <si>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</si>
  <si>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</si>
  <si>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</si>
  <si>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</si>
  <si>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</si>
  <si>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</si>
  <si>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</si>
  <si>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</si>
  <si>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</si>
  <si>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</si>
  <si>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</si>
  <si>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</si>
  <si>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</si>
  <si>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</si>
  <si>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</si>
  <si>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</si>
  <si>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</si>
  <si>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</si>
  <si>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</si>
  <si>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</si>
  <si>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</si>
  <si>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</si>
  <si>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</si>
  <si>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</si>
  <si>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</si>
  <si>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</si>
  <si>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</si>
  <si>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</si>
  <si>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</si>
  <si>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</si>
  <si>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</si>
  <si>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</si>
  <si>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</si>
  <si>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</si>
  <si>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</si>
  <si>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</si>
  <si>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</si>
  <si>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</si>
  <si>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</si>
  <si>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</si>
  <si>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</si>
  <si>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</si>
  <si>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</si>
  <si>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</si>
  <si>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</si>
  <si>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</si>
  <si>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</si>
  <si>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</si>
  <si>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</si>
  <si>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</si>
  <si>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</si>
  <si>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</si>
  <si>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</si>
  <si>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</si>
  <si>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</si>
  <si>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</si>
  <si>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</si>
  <si>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</si>
  <si>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</si>
  <si>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</si>
  <si>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</si>
  <si>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</si>
  <si>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</si>
  <si>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</si>
  <si>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</si>
  <si>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</si>
  <si>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</si>
  <si>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</si>
  <si>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</si>
  <si>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</si>
  <si>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</si>
  <si>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</si>
  <si>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</si>
  <si>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</si>
  <si>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</si>
  <si>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</si>
  <si>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</si>
  <si>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</si>
  <si>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</si>
  <si>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</si>
  <si>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</si>
  <si>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</si>
  <si>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</si>
  <si>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</si>
  <si>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</si>
  <si>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</si>
  <si>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</si>
  <si>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</si>
  <si>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</si>
  <si>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</si>
  <si>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</si>
  <si>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</si>
  <si>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</si>
  <si>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</si>
  <si>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</si>
  <si>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</si>
  <si>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</si>
  <si>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</si>
  <si>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</si>
  <si>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</si>
  <si>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</si>
  <si>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</si>
  <si>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</si>
  <si>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</si>
  <si>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</si>
  <si>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</si>
  <si>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</si>
  <si>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</si>
  <si>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</si>
  <si>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</si>
  <si>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</si>
  <si>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</si>
  <si>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</si>
  <si>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</si>
  <si>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</si>
  <si>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</si>
  <si>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</si>
  <si>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</si>
  <si>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</si>
  <si>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</si>
  <si>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</si>
  <si>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</si>
  <si>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</si>
  <si>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</si>
  <si>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</si>
  <si>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</si>
  <si>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</si>
  <si>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</si>
  <si>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</si>
  <si>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</si>
  <si>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</si>
  <si>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</si>
  <si>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</si>
  <si>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</si>
  <si>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</si>
  <si>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</si>
  <si>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</si>
  <si>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</si>
  <si>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</si>
  <si>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</si>
  <si>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</si>
  <si>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</si>
  <si>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</si>
  <si>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</si>
  <si>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</si>
  <si>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</si>
  <si>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</si>
  <si>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</si>
  <si>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</si>
  <si>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</si>
  <si>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</si>
  <si>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</si>
  <si>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</si>
  <si>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</si>
  <si>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</si>
  <si>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</si>
  <si>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</si>
  <si>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</si>
  <si>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</si>
  <si>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</si>
  <si>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</si>
  <si>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</si>
  <si>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</si>
  <si>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</si>
  <si>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</si>
  <si>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</si>
  <si>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</si>
  <si>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</si>
  <si>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</si>
  <si>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</si>
  <si>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</si>
  <si>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</si>
  <si>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</si>
  <si>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</si>
  <si>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</si>
  <si>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</si>
  <si>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</si>
  <si>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</si>
  <si>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</si>
  <si>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</si>
  <si>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</si>
  <si>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</si>
  <si>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</si>
  <si>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</si>
  <si>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</si>
  <si>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</si>
  <si>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</si>
  <si>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</si>
  <si>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</si>
  <si>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</si>
  <si>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</si>
  <si>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</si>
  <si>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</si>
  <si>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</si>
  <si>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</si>
  <si>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</si>
  <si>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</si>
  <si>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</si>
  <si>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</si>
  <si>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</si>
  <si>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</si>
  <si>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</si>
  <si>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</si>
  <si>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</si>
  <si>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</si>
  <si>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</si>
  <si>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</si>
  <si>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</si>
  <si>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</si>
  <si>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</si>
  <si>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</si>
  <si>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</si>
  <si>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</si>
  <si>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</si>
  <si>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</si>
  <si>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</si>
  <si>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</si>
  <si>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</si>
  <si>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</si>
  <si>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</si>
  <si>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</si>
  <si>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</si>
  <si>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</si>
  <si>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</si>
  <si>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</si>
  <si>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</si>
  <si>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</si>
  <si>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</si>
  <si>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</si>
  <si>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</si>
  <si>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</si>
  <si>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</si>
  <si>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</si>
  <si>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</si>
  <si>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</si>
  <si>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</si>
  <si>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</si>
  <si>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</si>
  <si>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</si>
  <si>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</si>
  <si>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</si>
  <si>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</si>
  <si>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</si>
  <si>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</si>
  <si>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</si>
  <si>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</si>
  <si>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</si>
  <si>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</si>
  <si>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</si>
  <si>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</si>
  <si>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</si>
  <si>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</si>
  <si>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</si>
  <si>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</si>
  <si>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</si>
  <si>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</si>
  <si>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</si>
  <si>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</si>
  <si>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</si>
  <si>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</si>
  <si>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</si>
  <si>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</si>
  <si>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</si>
  <si>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</si>
  <si>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</si>
  <si>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</si>
  <si>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</si>
  <si>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</si>
  <si>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</si>
  <si>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</si>
  <si>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</si>
  <si>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</si>
  <si>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</si>
  <si>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</si>
  <si>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</si>
  <si>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</si>
  <si>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</si>
  <si>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</si>
  <si>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</si>
  <si>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</si>
  <si>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</si>
  <si>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</si>
  <si>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</si>
  <si>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</si>
  <si>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</si>
  <si>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</si>
  <si>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</si>
  <si>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</si>
  <si>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</si>
  <si>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</si>
  <si>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</si>
  <si>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</si>
  <si>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</si>
  <si>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</si>
  <si>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</si>
  <si>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</si>
  <si>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</si>
  <si>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</si>
  <si>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</si>
  <si>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</si>
  <si>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</si>
  <si>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</si>
  <si>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</si>
  <si>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</si>
  <si>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</si>
  <si>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</si>
  <si>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</si>
  <si>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</si>
  <si>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</si>
  <si>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</si>
  <si>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</si>
  <si>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</si>
  <si>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</si>
  <si>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</si>
  <si>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</si>
  <si>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</si>
  <si>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</si>
  <si>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</si>
  <si>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</si>
  <si>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</si>
  <si>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</si>
  <si>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</si>
  <si>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</si>
  <si>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</si>
  <si>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</si>
  <si>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</si>
  <si>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</si>
  <si>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</si>
  <si>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</si>
  <si>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</si>
  <si>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</si>
  <si>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</si>
  <si>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</si>
  <si>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</si>
  <si>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</si>
  <si>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</si>
  <si>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</si>
  <si>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</si>
  <si>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</si>
  <si>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</si>
  <si>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</si>
  <si>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</si>
  <si>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</si>
  <si>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</si>
  <si>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</si>
  <si>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</si>
  <si>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</si>
  <si>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</si>
  <si>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</si>
  <si>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</si>
  <si>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</si>
  <si>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</si>
  <si>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</si>
  <si>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</si>
  <si>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</si>
  <si>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</si>
  <si>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</si>
  <si>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</si>
  <si>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</si>
  <si>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</si>
  <si>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</si>
  <si>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</si>
  <si>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</si>
  <si>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</si>
  <si>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</si>
  <si>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</si>
  <si>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</si>
  <si>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</si>
  <si>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</si>
  <si>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</si>
  <si>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</si>
  <si>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</si>
  <si>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</si>
  <si>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</si>
  <si>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</si>
  <si>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</si>
  <si>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</si>
  <si>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</si>
  <si>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</si>
  <si>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</si>
  <si>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</si>
  <si>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</si>
  <si>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</si>
  <si>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</si>
  <si>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</si>
  <si>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</si>
  <si>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</si>
  <si>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</si>
  <si>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</si>
  <si>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</si>
  <si>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</si>
  <si>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</si>
  <si>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</si>
  <si>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</si>
  <si>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</si>
  <si>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</si>
  <si>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</si>
  <si>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</si>
  <si>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</si>
  <si>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</si>
  <si>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</si>
  <si>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</si>
  <si>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</si>
  <si>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</si>
  <si>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</si>
  <si>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</si>
  <si>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</si>
  <si>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</si>
  <si>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</si>
  <si>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</si>
  <si>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</si>
  <si>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</si>
  <si>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</si>
  <si>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</si>
  <si>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</si>
  <si>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</si>
  <si>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</si>
  <si>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</si>
  <si>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</si>
  <si>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</si>
  <si>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</si>
  <si>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</si>
  <si>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</si>
  <si>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</si>
  <si>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</si>
  <si>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</si>
  <si>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</si>
  <si>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</si>
  <si>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</si>
  <si>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</si>
  <si>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</si>
  <si>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</si>
  <si>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</si>
  <si>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</si>
  <si>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</si>
  <si>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</si>
  <si>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</si>
  <si>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</si>
  <si>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</si>
  <si>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</si>
  <si>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</si>
  <si>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</si>
  <si>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</si>
  <si>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</si>
  <si>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</si>
  <si>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</si>
  <si>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</si>
  <si>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</si>
  <si>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</si>
  <si>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</si>
  <si>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</si>
  <si>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</si>
  <si>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</si>
  <si>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</si>
  <si>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</si>
  <si>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</si>
  <si>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</si>
  <si>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</si>
  <si>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</si>
  <si>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</si>
  <si>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</si>
  <si>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</si>
  <si>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</si>
  <si>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</si>
  <si>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</si>
  <si>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</si>
  <si>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</si>
  <si>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</si>
  <si>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</si>
  <si>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</si>
  <si>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</si>
  <si>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</si>
  <si>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</si>
  <si>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</si>
  <si>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</si>
  <si>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</si>
  <si>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</si>
  <si>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</si>
  <si>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</si>
  <si>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</si>
  <si>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</si>
  <si>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</si>
  <si>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</si>
  <si>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</si>
  <si>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</si>
  <si>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</si>
  <si>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</si>
  <si>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</si>
  <si>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</si>
  <si>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</si>
  <si>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</si>
  <si>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</si>
  <si>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</si>
  <si>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</si>
  <si>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</si>
  <si>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</si>
  <si>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</si>
  <si>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</si>
  <si>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</si>
  <si>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</si>
  <si>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</si>
  <si>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</si>
  <si>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</si>
  <si>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</si>
  <si>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</si>
  <si>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</si>
  <si>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</si>
  <si>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</si>
  <si>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</si>
  <si>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</si>
  <si>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</si>
  <si>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</si>
  <si>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</si>
  <si>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</si>
  <si>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</si>
  <si>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</si>
  <si>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</si>
  <si>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</si>
  <si>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</si>
  <si>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</si>
  <si>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</si>
  <si>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</si>
  <si>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</si>
  <si>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</si>
  <si>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</si>
  <si>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</si>
  <si>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</si>
  <si>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</si>
  <si>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</si>
  <si>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</si>
  <si>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</si>
  <si>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</si>
  <si>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</si>
  <si>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</si>
  <si>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</si>
  <si>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</si>
  <si>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</si>
  <si>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</si>
  <si>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</si>
  <si>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</si>
  <si>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</si>
  <si>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</si>
  <si>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</si>
  <si>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</si>
  <si>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</si>
  <si>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</si>
  <si>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</si>
  <si>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</si>
  <si>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</si>
  <si>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</si>
  <si>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</si>
  <si>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</si>
  <si>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</si>
  <si>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</si>
  <si>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</si>
  <si>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</si>
  <si>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</si>
  <si>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</si>
  <si>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</si>
  <si>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</si>
  <si>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</si>
  <si>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</si>
  <si>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</si>
  <si>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</si>
  <si>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</si>
  <si>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</si>
  <si>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</si>
  <si>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</si>
  <si>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</si>
  <si>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</si>
  <si>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</si>
  <si>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</si>
  <si>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</si>
  <si>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</si>
  <si>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</si>
  <si>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</si>
  <si>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</si>
  <si>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</si>
  <si>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</si>
  <si>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</si>
  <si>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</si>
  <si>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</si>
  <si>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</si>
  <si>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</si>
  <si>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</si>
  <si>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</si>
  <si>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</si>
  <si>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</si>
  <si>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</si>
  <si>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</si>
  <si>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</si>
  <si>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</si>
  <si>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</si>
  <si>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</si>
  <si>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</si>
  <si>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</si>
  <si>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</si>
  <si>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</si>
  <si>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</si>
  <si>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</si>
  <si>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</si>
  <si>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</si>
  <si>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</si>
  <si>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</si>
  <si>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</si>
  <si>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</si>
  <si>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</si>
  <si>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</si>
  <si>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</si>
  <si>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</si>
  <si>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</si>
  <si>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</si>
  <si>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</si>
  <si>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</si>
  <si>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</si>
  <si>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</si>
  <si>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</si>
  <si>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</si>
  <si>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</si>
  <si>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</si>
  <si>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</si>
  <si>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</si>
  <si>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</si>
  <si>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</si>
  <si>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</si>
  <si>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</si>
  <si>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</si>
  <si>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</si>
  <si>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</si>
  <si>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</si>
  <si>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</si>
  <si>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</si>
  <si>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</si>
  <si>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</si>
  <si>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</si>
  <si>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</si>
  <si>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</si>
  <si>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</si>
  <si>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</si>
  <si>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</si>
  <si>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</si>
  <si>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</si>
  <si>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</si>
  <si>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</si>
  <si>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</si>
  <si>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</si>
  <si>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</si>
  <si>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</si>
  <si>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</si>
  <si>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</si>
  <si>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</si>
  <si>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</si>
  <si>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</si>
  <si>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</si>
  <si>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</si>
  <si>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</si>
  <si>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</si>
  <si>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</si>
  <si>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</si>
  <si>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</si>
  <si>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</si>
  <si>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</si>
  <si>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</si>
  <si>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</si>
  <si>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</si>
  <si>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</si>
  <si>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</si>
  <si>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</si>
  <si>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</si>
  <si>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</si>
  <si>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</si>
  <si>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</si>
  <si>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</si>
  <si>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</si>
  <si>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</si>
  <si>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</si>
  <si>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</si>
  <si>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</si>
  <si>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</si>
  <si>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</si>
  <si>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</si>
  <si>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</si>
  <si>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</si>
  <si>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</si>
  <si>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</si>
  <si>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</si>
  <si>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</si>
  <si>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</si>
  <si>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</si>
  <si>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</si>
  <si>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</si>
  <si>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</si>
  <si>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</si>
  <si>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</si>
  <si>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</si>
  <si>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</si>
  <si>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</si>
  <si>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</si>
  <si>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</si>
  <si>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</si>
  <si>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</si>
  <si>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</si>
  <si>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</si>
  <si>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</si>
  <si>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</si>
  <si>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</si>
  <si>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</si>
  <si>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</si>
  <si>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</si>
  <si>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</si>
  <si>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</si>
  <si>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</si>
  <si>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</si>
  <si>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</si>
  <si>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</si>
  <si>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</si>
  <si>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</si>
  <si>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</si>
  <si>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</si>
  <si>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</si>
  <si>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</si>
  <si>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</si>
  <si>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</si>
  <si>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</si>
  <si>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</si>
  <si>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</si>
  <si>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</si>
  <si>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</si>
  <si>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</si>
  <si>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</si>
  <si>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</si>
  <si>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</si>
  <si>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</si>
  <si>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</si>
  <si>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</si>
  <si>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</si>
  <si>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</si>
  <si>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</si>
  <si>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</si>
  <si>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</si>
  <si>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</si>
  <si>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</si>
  <si>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</si>
  <si>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</si>
  <si>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</si>
  <si>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</si>
  <si>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</si>
  <si>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</si>
  <si>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</si>
  <si>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</si>
  <si>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</si>
  <si>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</si>
  <si>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</si>
  <si>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</si>
  <si>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</si>
  <si>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</si>
  <si>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</si>
  <si>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</si>
  <si>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</si>
  <si>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</si>
  <si>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</si>
  <si>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</si>
  <si>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</si>
  <si>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</si>
  <si>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</si>
  <si>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</si>
  <si>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</si>
  <si>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</si>
  <si>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</si>
  <si>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</si>
  <si>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</si>
  <si>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</si>
  <si>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</si>
  <si>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</si>
  <si>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</si>
  <si>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</si>
  <si>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</si>
  <si>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</si>
  <si>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</si>
  <si>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</si>
  <si>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</si>
  <si>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</si>
  <si>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</si>
  <si>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</si>
  <si>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</si>
  <si>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</si>
  <si>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</si>
  <si>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</si>
  <si>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</si>
  <si>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</si>
  <si>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</si>
  <si>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</si>
  <si>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</si>
  <si>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</si>
  <si>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</si>
  <si>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</si>
  <si>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</si>
  <si>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</si>
  <si>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</si>
  <si>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</si>
  <si>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</si>
  <si>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</si>
  <si>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</si>
  <si>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</si>
  <si>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</si>
  <si>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</si>
  <si>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</si>
  <si>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</si>
  <si>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</si>
  <si>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</si>
  <si>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</si>
  <si>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</si>
  <si>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</si>
  <si>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</si>
  <si>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</si>
  <si>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</si>
  <si>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</si>
  <si>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</si>
  <si>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</si>
  <si>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</si>
  <si>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</si>
  <si>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</si>
  <si>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</si>
  <si>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</si>
  <si>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</si>
  <si>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</si>
  <si>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</si>
  <si>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</si>
  <si>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</si>
  <si>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</si>
  <si>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</si>
  <si>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</si>
  <si>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</si>
  <si>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</si>
  <si>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</si>
  <si>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</si>
  <si>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</si>
  <si>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</si>
  <si>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</si>
  <si>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</si>
  <si>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</si>
  <si>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</si>
  <si>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</si>
  <si>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</si>
  <si>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</si>
  <si>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</si>
  <si>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</si>
  <si>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</si>
  <si>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</si>
  <si>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</si>
  <si>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</si>
  <si>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</si>
  <si>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</si>
  <si>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</si>
  <si>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</si>
  <si>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</si>
  <si>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</si>
  <si>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</si>
  <si>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</si>
  <si>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</si>
  <si>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</si>
  <si>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</si>
  <si>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</si>
  <si>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</si>
  <si>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</si>
  <si>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</si>
  <si>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</si>
  <si>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</si>
  <si>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</si>
  <si>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</si>
  <si>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</si>
  <si>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</si>
  <si>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</si>
  <si>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</si>
  <si>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</si>
  <si>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</si>
  <si>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</si>
  <si>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</si>
  <si>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</si>
  <si>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</si>
  <si>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</si>
  <si>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</si>
  <si>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</si>
  <si>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</si>
  <si>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</si>
  <si>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</si>
  <si>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</si>
  <si>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</si>
  <si>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</si>
  <si>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</si>
  <si>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</si>
  <si>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</si>
  <si>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</si>
  <si>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</si>
  <si>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</si>
  <si>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</si>
  <si>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</si>
  <si>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</si>
  <si>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</si>
  <si>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</si>
  <si>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</si>
  <si>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</si>
  <si>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</si>
  <si>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</si>
  <si>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</si>
  <si>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</si>
  <si>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</si>
  <si>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</si>
  <si>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</si>
  <si>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</si>
  <si>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</si>
  <si>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</si>
  <si>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</si>
  <si>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</si>
  <si>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</si>
  <si>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</si>
  <si>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</si>
  <si>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</si>
  <si>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</si>
  <si>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</si>
  <si>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</si>
  <si>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</si>
  <si>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</si>
  <si>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</si>
  <si>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</si>
  <si>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</si>
  <si>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</si>
  <si>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</si>
  <si>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</si>
  <si>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</si>
  <si>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</si>
  <si>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</si>
  <si>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</si>
  <si>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</si>
  <si>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</si>
  <si>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</si>
  <si>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</si>
  <si>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</si>
  <si>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</si>
  <si>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</si>
  <si>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</si>
  <si>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</si>
  <si>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</si>
  <si>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</si>
  <si>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</si>
  <si>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</si>
  <si>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</si>
  <si>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</si>
  <si>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</si>
  <si>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</si>
  <si>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</si>
  <si>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</si>
  <si>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</si>
  <si>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</si>
  <si>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</si>
  <si>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</si>
  <si>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</si>
  <si>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</si>
  <si>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</si>
  <si>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</si>
  <si>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</si>
  <si>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</si>
  <si>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</si>
  <si>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</si>
  <si>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</si>
  <si>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</si>
  <si>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</si>
  <si>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</si>
  <si>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</si>
  <si>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</si>
  <si>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</si>
  <si>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</si>
  <si>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</si>
  <si>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</si>
  <si>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</si>
  <si>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</si>
  <si>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</si>
  <si>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</si>
  <si>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</si>
  <si>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</si>
  <si>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</si>
  <si>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</si>
  <si>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</si>
  <si>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</si>
  <si>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</si>
  <si>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</si>
  <si>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</si>
  <si>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</si>
  <si>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</si>
  <si>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</si>
  <si>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</si>
  <si>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</si>
  <si>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</si>
  <si>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</si>
  <si>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</si>
  <si>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</si>
  <si>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</si>
  <si>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</si>
  <si>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</si>
  <si>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</si>
  <si>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</si>
  <si>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</si>
  <si>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</si>
  <si>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</si>
  <si>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</si>
  <si>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</si>
  <si>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</si>
  <si>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</si>
  <si>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</si>
  <si>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</si>
  <si>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</si>
  <si>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</si>
  <si>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</si>
  <si>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</si>
  <si>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</si>
  <si>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</si>
  <si>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</si>
  <si>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</si>
  <si>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</si>
  <si>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</si>
  <si>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</si>
  <si>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</si>
  <si>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</si>
  <si>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</si>
  <si>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</si>
  <si>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</si>
  <si>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</si>
  <si>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</si>
  <si>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</si>
  <si>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</si>
  <si>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</si>
  <si>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</si>
  <si>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</si>
  <si>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</si>
  <si>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</si>
  <si>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</si>
  <si>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</si>
  <si>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</si>
  <si>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</si>
  <si>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</si>
  <si>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</si>
  <si>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</si>
  <si>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</si>
  <si>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</si>
  <si>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</si>
  <si>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</si>
  <si>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</si>
  <si>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</si>
  <si>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</si>
  <si>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</si>
  <si>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</si>
  <si>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</si>
  <si>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</si>
  <si>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</si>
  <si>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</si>
  <si>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</si>
  <si>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</si>
  <si>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</si>
  <si>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</si>
  <si>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</si>
  <si>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</si>
  <si>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</si>
  <si>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</si>
  <si>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</si>
  <si>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</si>
  <si>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</si>
  <si>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</si>
  <si>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</si>
  <si>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</si>
  <si>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</si>
  <si>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</si>
  <si>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</si>
  <si>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</si>
  <si>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</si>
  <si>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</si>
  <si>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</si>
  <si>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</si>
  <si>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</si>
  <si>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</si>
  <si>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</si>
  <si>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</si>
  <si>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</si>
  <si>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</si>
  <si>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</si>
  <si>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</si>
  <si>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</si>
  <si>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</si>
  <si>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</si>
  <si>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</si>
  <si>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</si>
  <si>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</si>
  <si>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</si>
  <si>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</si>
  <si>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</si>
  <si>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</si>
  <si>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</si>
  <si>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</si>
  <si>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</si>
  <si>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</si>
  <si>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</si>
  <si>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</si>
  <si>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</si>
  <si>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</si>
  <si>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</si>
  <si>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</si>
  <si>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</si>
  <si>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</si>
  <si>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</si>
  <si>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</si>
  <si>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</si>
  <si>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</si>
  <si>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</si>
  <si>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</si>
  <si>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</si>
  <si>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</si>
  <si>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</si>
  <si>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</si>
  <si>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</si>
  <si>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</si>
  <si>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</si>
  <si>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</si>
  <si>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</si>
  <si>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</si>
  <si>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</si>
  <si>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</si>
  <si>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</si>
  <si>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</si>
  <si>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</si>
  <si>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</si>
  <si>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</si>
  <si>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</si>
  <si>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</si>
  <si>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</si>
  <si>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</si>
  <si>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</si>
  <si>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</si>
  <si>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</si>
  <si>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</si>
  <si>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</si>
  <si>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</si>
  <si>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</si>
  <si>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</si>
  <si>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</si>
  <si>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</si>
  <si>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</si>
  <si>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</si>
  <si>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</si>
  <si>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</si>
  <si>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</si>
  <si>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</si>
  <si>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</si>
  <si>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</si>
  <si>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</si>
  <si>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</si>
  <si>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</si>
  <si>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</si>
  <si>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</si>
  <si>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</si>
  <si>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</si>
  <si>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</si>
  <si>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</si>
  <si>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</si>
  <si>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</si>
  <si>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</si>
  <si>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</si>
  <si>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</si>
  <si>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</si>
  <si>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</si>
  <si>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</si>
  <si>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</si>
  <si>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</si>
  <si>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</si>
  <si>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</si>
  <si>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</si>
  <si>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</si>
  <si>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</si>
  <si>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</si>
  <si>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</si>
  <si>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</si>
  <si>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</si>
  <si>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</si>
  <si>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</si>
  <si>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</si>
  <si>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</si>
  <si>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</si>
  <si>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</si>
  <si>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</si>
  <si>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</si>
  <si>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</si>
  <si>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</si>
  <si>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</si>
  <si>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</si>
  <si>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</si>
  <si>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</si>
  <si>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</si>
  <si>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</si>
  <si>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</si>
  <si>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</si>
  <si>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</si>
  <si>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</si>
  <si>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</si>
  <si>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</si>
  <si>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</si>
  <si>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</si>
  <si>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</si>
  <si>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</si>
  <si>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</si>
  <si>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</si>
  <si>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</si>
  <si>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</si>
  <si>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</si>
  <si>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</si>
  <si>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</si>
  <si>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Z2_OL_T1_C1si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</si>
</sst>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5" zoomScale="80" zoomScaleNormal="80" workbookViewId="0">
      <selection activeCell="K60" sqref="K6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6.5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3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2</v>
      </c>
      <c r="P58" t="s">
        <v>581</v>
      </c>
    </row>
    <row r="59" spans="10:132" x14ac:dyDescent="0.25">
      <c r="J59" s="14" t="s">
        <v>1473</v>
      </c>
      <c r="K59" s="1">
        <v>1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605</v>
      </c>
    </row>
    <row r="77" spans="10:22" x14ac:dyDescent="0.25">
      <c r="J77" s="14" t="s">
        <v>606</v>
      </c>
      <c r="K77" s="80"/>
      <c r="R77">
        <v>2</v>
      </c>
      <c r="U77">
        <v>2</v>
      </c>
      <c r="V77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/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0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/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/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/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641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641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/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10"/>
        <v>4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4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6.5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9</v>
      </c>
      <c r="AJ228" s="62">
        <f t="shared" si="24"/>
        <v>6.5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9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4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3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2</v>
      </c>
      <c r="F3" s="172">
        <f t="shared" si="1"/>
        <v>3</v>
      </c>
      <c r="G3" s="172">
        <f t="shared" si="1"/>
        <v>3</v>
      </c>
      <c r="H3" s="172">
        <f t="shared" si="1"/>
        <v>4</v>
      </c>
      <c r="I3" s="172">
        <f t="shared" si="1"/>
        <v>4</v>
      </c>
      <c r="J3" s="172">
        <f t="shared" si="1"/>
        <v>4</v>
      </c>
      <c r="K3" s="172">
        <f t="shared" si="1"/>
        <v>4</v>
      </c>
      <c r="L3" s="172">
        <f t="shared" si="1"/>
        <v>3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10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2</v>
      </c>
      <c r="O7" s="172">
        <f t="shared" si="12"/>
        <v>2</v>
      </c>
      <c r="P7" s="172">
        <f t="shared" si="12"/>
        <v>2</v>
      </c>
      <c r="Q7" s="172">
        <f t="shared" si="12"/>
        <v>2</v>
      </c>
      <c r="R7" s="172">
        <f t="shared" si="12"/>
        <v>2</v>
      </c>
      <c r="S7" s="172">
        <f t="shared" si="12"/>
        <v>2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8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6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8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6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8</v>
      </c>
      <c r="O12" s="172">
        <f>O7*[1]Protect!$B$15</f>
        <v>8</v>
      </c>
      <c r="P12" s="172">
        <f>P7*[1]Protect!$B$15</f>
        <v>8</v>
      </c>
      <c r="Q12" s="172">
        <f>Q7*[1]Protect!$B$15</f>
        <v>8</v>
      </c>
      <c r="R12" s="172">
        <f>R7*[1]Protect!$B$15</f>
        <v>8</v>
      </c>
      <c r="S12" s="172">
        <f>S7*[1]Protect!$B$15</f>
        <v>8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8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6</v>
      </c>
      <c r="M13" s="172">
        <f t="shared" si="14"/>
        <v>4</v>
      </c>
      <c r="N13" s="172">
        <f t="shared" si="14"/>
        <v>8</v>
      </c>
      <c r="O13" s="172">
        <f t="shared" si="14"/>
        <v>8</v>
      </c>
      <c r="P13" s="172">
        <f t="shared" si="14"/>
        <v>8</v>
      </c>
      <c r="Q13" s="172">
        <f t="shared" si="14"/>
        <v>8</v>
      </c>
      <c r="R13" s="172">
        <f t="shared" si="14"/>
        <v>10</v>
      </c>
      <c r="S13" s="172">
        <f t="shared" si="14"/>
        <v>10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0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3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2</v>
      </c>
      <c r="F17" s="168">
        <f t="shared" si="17"/>
        <v>3</v>
      </c>
      <c r="G17" s="168">
        <f t="shared" si="17"/>
        <v>3</v>
      </c>
      <c r="H17" s="168">
        <f t="shared" si="17"/>
        <v>4</v>
      </c>
      <c r="I17" s="168">
        <f t="shared" si="17"/>
        <v>4</v>
      </c>
      <c r="J17" s="168">
        <f t="shared" si="17"/>
        <v>4</v>
      </c>
      <c r="K17" s="168">
        <f t="shared" si="17"/>
        <v>4</v>
      </c>
      <c r="L17" s="168">
        <f t="shared" si="17"/>
        <v>3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1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3</v>
      </c>
      <c r="S22" s="62">
        <f t="shared" si="21"/>
        <v>3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0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1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0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0.5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0.5</v>
      </c>
      <c r="I71" s="168">
        <f>IF($AA71=0,99,IF(I84&gt;3,CdTrp1!H79,CdTrp1!H55))</f>
        <v>0.5</v>
      </c>
      <c r="J71" s="168">
        <f>IF($AA71=0,99,IF(J84&gt;3,CdTrp1!I79,CdTrp1!I55))</f>
        <v>0.5</v>
      </c>
      <c r="K71" s="168">
        <f>IF($AA71=0,99,IF(K84&gt;3,CdTrp1!J79,CdTrp1!J55))</f>
        <v>0.5</v>
      </c>
      <c r="L71" s="168">
        <f>IF($AA71=0,99,IF(L84&gt;3,CdTrp1!K79,CdTrp1!K55))</f>
        <v>0.5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1</v>
      </c>
      <c r="J83" s="168">
        <f>CdTrp1!I78</f>
        <v>1</v>
      </c>
      <c r="K83" s="168">
        <f>CdTrp1!J78</f>
        <v>1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1</v>
      </c>
      <c r="I84" s="168">
        <f>CdTrp1!H79</f>
        <v>1</v>
      </c>
      <c r="J84" s="168">
        <f>CdTrp1!I79</f>
        <v>1</v>
      </c>
      <c r="K84" s="168">
        <f>CdTrp1!J79</f>
        <v>1</v>
      </c>
      <c r="L84" s="168">
        <f>CdTrp1!K79</f>
        <v>1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2</v>
      </c>
      <c r="O181" s="168">
        <f>IF(Troupeau!$B$3="OL",Protection!O19+O21,0)</f>
        <v>2</v>
      </c>
      <c r="P181" s="168">
        <f>IF(Troupeau!$B$3="OL",Protection!P19+P21,0)</f>
        <v>2</v>
      </c>
      <c r="Q181" s="168">
        <f>IF(Troupeau!$B$3="OL",Protection!Q19+Q21,0)</f>
        <v>2</v>
      </c>
      <c r="R181" s="168">
        <f>IF(Troupeau!$B$3="OL",Protection!R19+R21,0)</f>
        <v>2</v>
      </c>
      <c r="S181" s="168">
        <f>IF(Troupeau!$B$3="OL",Protection!S19+S21,0)</f>
        <v>2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2</v>
      </c>
      <c r="O196" s="168">
        <f t="shared" si="49"/>
        <v>2</v>
      </c>
      <c r="P196" s="168">
        <f t="shared" si="49"/>
        <v>2</v>
      </c>
      <c r="Q196" s="168">
        <f t="shared" si="49"/>
        <v>2</v>
      </c>
      <c r="R196" s="168">
        <f t="shared" si="49"/>
        <v>2</v>
      </c>
      <c r="S196" s="168">
        <f t="shared" si="49"/>
        <v>2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8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6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8</v>
      </c>
      <c r="O202" s="168">
        <f>IF(Troupeau!$B$3="OL",O10+O12,0)</f>
        <v>8</v>
      </c>
      <c r="P202" s="168">
        <f>IF(Troupeau!$B$3="OL",P10+P12,0)</f>
        <v>8</v>
      </c>
      <c r="Q202" s="168">
        <f>IF(Troupeau!$B$3="OL",Q10+Q12,0)</f>
        <v>8</v>
      </c>
      <c r="R202" s="168">
        <f>IF(Troupeau!$B$3="OL",R10+R12,0)</f>
        <v>8</v>
      </c>
      <c r="S202" s="168">
        <f>IF(Troupeau!$B$3="OL",S10+S12,0)</f>
        <v>8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4</v>
      </c>
      <c r="F203" s="168">
        <f t="shared" si="50"/>
        <v>6</v>
      </c>
      <c r="G203" s="168">
        <f t="shared" si="50"/>
        <v>6</v>
      </c>
      <c r="H203" s="168">
        <f t="shared" si="50"/>
        <v>8</v>
      </c>
      <c r="I203" s="168">
        <f t="shared" si="50"/>
        <v>8</v>
      </c>
      <c r="J203" s="168">
        <f t="shared" si="50"/>
        <v>8</v>
      </c>
      <c r="K203" s="168">
        <f t="shared" si="50"/>
        <v>8</v>
      </c>
      <c r="L203" s="168">
        <f t="shared" si="50"/>
        <v>6</v>
      </c>
      <c r="M203" s="168">
        <f t="shared" si="50"/>
        <v>4</v>
      </c>
      <c r="N203" s="168">
        <f t="shared" si="50"/>
        <v>8</v>
      </c>
      <c r="O203" s="168">
        <f t="shared" si="50"/>
        <v>8</v>
      </c>
      <c r="P203" s="168">
        <f t="shared" si="50"/>
        <v>8</v>
      </c>
      <c r="Q203" s="168">
        <f t="shared" si="50"/>
        <v>8</v>
      </c>
      <c r="R203" s="168">
        <f t="shared" si="50"/>
        <v>10</v>
      </c>
      <c r="S203" s="168">
        <f t="shared" si="50"/>
        <v>10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4</v>
      </c>
      <c r="F212" s="168">
        <f t="shared" si="51"/>
        <v>6</v>
      </c>
      <c r="G212" s="168">
        <f t="shared" si="51"/>
        <v>6</v>
      </c>
      <c r="H212" s="168">
        <f t="shared" si="51"/>
        <v>8</v>
      </c>
      <c r="I212" s="168">
        <f t="shared" si="51"/>
        <v>8</v>
      </c>
      <c r="J212" s="168">
        <f t="shared" si="51"/>
        <v>8</v>
      </c>
      <c r="K212" s="168">
        <f t="shared" si="51"/>
        <v>8</v>
      </c>
      <c r="L212" s="168">
        <f t="shared" si="51"/>
        <v>6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8</v>
      </c>
      <c r="O213" s="168">
        <f t="shared" si="51"/>
        <v>8</v>
      </c>
      <c r="P213" s="168">
        <f t="shared" si="51"/>
        <v>8</v>
      </c>
      <c r="Q213" s="168">
        <f t="shared" si="51"/>
        <v>8</v>
      </c>
      <c r="R213" s="168">
        <f t="shared" si="51"/>
        <v>8</v>
      </c>
      <c r="S213" s="168">
        <f t="shared" si="51"/>
        <v>8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4</v>
      </c>
      <c r="F214" s="168">
        <f t="shared" si="52"/>
        <v>6</v>
      </c>
      <c r="G214" s="168">
        <f t="shared" si="52"/>
        <v>6</v>
      </c>
      <c r="H214" s="168">
        <f t="shared" si="52"/>
        <v>8</v>
      </c>
      <c r="I214" s="168">
        <f t="shared" si="52"/>
        <v>8</v>
      </c>
      <c r="J214" s="168">
        <f t="shared" si="52"/>
        <v>8</v>
      </c>
      <c r="K214" s="168">
        <f t="shared" si="52"/>
        <v>8</v>
      </c>
      <c r="L214" s="168">
        <f t="shared" si="52"/>
        <v>6</v>
      </c>
      <c r="M214" s="168">
        <f t="shared" si="52"/>
        <v>4</v>
      </c>
      <c r="N214" s="168">
        <f t="shared" si="52"/>
        <v>8</v>
      </c>
      <c r="O214" s="168">
        <f t="shared" si="52"/>
        <v>8</v>
      </c>
      <c r="P214" s="168">
        <f t="shared" si="52"/>
        <v>8</v>
      </c>
      <c r="Q214" s="168">
        <f t="shared" si="52"/>
        <v>8</v>
      </c>
      <c r="R214" s="168">
        <f t="shared" si="52"/>
        <v>10</v>
      </c>
      <c r="S214" s="168">
        <f t="shared" si="52"/>
        <v>10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2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574</v>
      </c>
      <c r="G5" s="168">
        <f>AV117</f>
        <v>0</v>
      </c>
      <c r="H5" s="168">
        <f t="shared" ref="H5:AD5" si="0">AW117</f>
        <v>0</v>
      </c>
      <c r="I5" s="168">
        <f t="shared" si="0"/>
        <v>28</v>
      </c>
      <c r="J5" s="168">
        <f t="shared" si="0"/>
        <v>42</v>
      </c>
      <c r="K5" s="168">
        <f t="shared" si="0"/>
        <v>42</v>
      </c>
      <c r="L5" s="168">
        <f t="shared" si="0"/>
        <v>56</v>
      </c>
      <c r="M5" s="168">
        <f t="shared" si="0"/>
        <v>56</v>
      </c>
      <c r="N5" s="168">
        <f t="shared" si="0"/>
        <v>56</v>
      </c>
      <c r="O5" s="168">
        <f t="shared" si="0"/>
        <v>56</v>
      </c>
      <c r="P5" s="168">
        <f t="shared" si="0"/>
        <v>42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749.59487364620941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28.93072202166065</v>
      </c>
      <c r="M9" s="30">
        <f t="shared" si="4"/>
        <v>28.899891696750906</v>
      </c>
      <c r="N9" s="30">
        <f t="shared" si="4"/>
        <v>28.869061371841156</v>
      </c>
      <c r="O9" s="30">
        <f t="shared" si="4"/>
        <v>28.838231046931408</v>
      </c>
      <c r="P9" s="30">
        <f t="shared" si="4"/>
        <v>28.807400722021661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1323.594873646209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78.516498194945854</v>
      </c>
      <c r="J13" s="30">
        <f t="shared" si="8"/>
        <v>92.023212996389901</v>
      </c>
      <c r="K13" s="30">
        <f t="shared" si="8"/>
        <v>91.9615523465704</v>
      </c>
      <c r="L13" s="30">
        <f t="shared" si="8"/>
        <v>84.930722021660642</v>
      </c>
      <c r="M13" s="30">
        <f t="shared" si="8"/>
        <v>84.899891696750899</v>
      </c>
      <c r="N13" s="30">
        <f t="shared" si="8"/>
        <v>84.869061371841156</v>
      </c>
      <c r="O13" s="30">
        <f t="shared" si="8"/>
        <v>84.838231046931412</v>
      </c>
      <c r="P13" s="30">
        <f t="shared" si="8"/>
        <v>70.807400722021669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3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224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faible</v>
      </c>
      <c r="AV27" s="168">
        <f t="shared" si="17"/>
        <v>1</v>
      </c>
      <c r="AW27" s="168">
        <f t="shared" si="17"/>
        <v>1</v>
      </c>
      <c r="AX27" s="168">
        <f t="shared" si="17"/>
        <v>1</v>
      </c>
      <c r="AY27" s="168">
        <f t="shared" si="17"/>
        <v>1</v>
      </c>
      <c r="AZ27" s="168">
        <f t="shared" si="17"/>
        <v>1</v>
      </c>
      <c r="BA27" s="168">
        <f t="shared" si="17"/>
        <v>1</v>
      </c>
      <c r="BB27" s="168">
        <f t="shared" si="17"/>
        <v>1</v>
      </c>
      <c r="BC27" s="168">
        <f t="shared" si="17"/>
        <v>1</v>
      </c>
      <c r="BD27" s="168">
        <f t="shared" si="17"/>
        <v>1</v>
      </c>
      <c r="BE27" s="168">
        <f t="shared" si="17"/>
        <v>1</v>
      </c>
      <c r="BF27" s="168">
        <f t="shared" si="17"/>
        <v>1</v>
      </c>
      <c r="BG27" s="168">
        <f t="shared" si="17"/>
        <v>1</v>
      </c>
      <c r="BH27" s="168">
        <f t="shared" si="17"/>
        <v>1</v>
      </c>
      <c r="BI27" s="168">
        <f t="shared" si="17"/>
        <v>1</v>
      </c>
      <c r="BJ27" s="168">
        <f t="shared" si="17"/>
        <v>1</v>
      </c>
      <c r="BK27" s="168">
        <f t="shared" si="17"/>
        <v>1</v>
      </c>
      <c r="BL27" s="168">
        <f t="shared" si="18"/>
        <v>1</v>
      </c>
      <c r="BM27" s="168">
        <f t="shared" si="18"/>
        <v>1</v>
      </c>
      <c r="BN27" s="168">
        <f t="shared" si="18"/>
        <v>1</v>
      </c>
      <c r="BO27" s="168">
        <f t="shared" si="18"/>
        <v>1</v>
      </c>
      <c r="BP27" s="168">
        <f t="shared" si="18"/>
        <v>1</v>
      </c>
      <c r="BQ27" s="168">
        <f t="shared" si="18"/>
        <v>1</v>
      </c>
      <c r="BR27" s="168">
        <f t="shared" si="18"/>
        <v>1</v>
      </c>
      <c r="BS27" s="168">
        <f t="shared" si="18"/>
        <v>1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faible</v>
      </c>
      <c r="AV29" s="168">
        <f t="shared" si="17"/>
        <v>1</v>
      </c>
      <c r="AW29" s="168">
        <f t="shared" si="17"/>
        <v>1</v>
      </c>
      <c r="AX29" s="168">
        <f t="shared" si="17"/>
        <v>1</v>
      </c>
      <c r="AY29" s="168">
        <f t="shared" si="17"/>
        <v>1</v>
      </c>
      <c r="AZ29" s="168">
        <f t="shared" si="17"/>
        <v>1</v>
      </c>
      <c r="BA29" s="168">
        <f t="shared" si="17"/>
        <v>1</v>
      </c>
      <c r="BB29" s="168">
        <f t="shared" si="17"/>
        <v>1</v>
      </c>
      <c r="BC29" s="168">
        <f t="shared" si="17"/>
        <v>1</v>
      </c>
      <c r="BD29" s="168">
        <f t="shared" si="17"/>
        <v>1</v>
      </c>
      <c r="BE29" s="168">
        <f t="shared" si="17"/>
        <v>1</v>
      </c>
      <c r="BF29" s="168">
        <f t="shared" si="17"/>
        <v>1</v>
      </c>
      <c r="BG29" s="168">
        <f t="shared" si="17"/>
        <v>1</v>
      </c>
      <c r="BH29" s="168">
        <f t="shared" si="17"/>
        <v>1</v>
      </c>
      <c r="BI29" s="168">
        <f t="shared" si="17"/>
        <v>1</v>
      </c>
      <c r="BJ29" s="168">
        <f t="shared" si="17"/>
        <v>1</v>
      </c>
      <c r="BK29" s="168">
        <f t="shared" si="17"/>
        <v>1</v>
      </c>
      <c r="BL29" s="168">
        <f t="shared" si="18"/>
        <v>1</v>
      </c>
      <c r="BM29" s="168">
        <f t="shared" si="18"/>
        <v>1</v>
      </c>
      <c r="BN29" s="168">
        <f t="shared" si="18"/>
        <v>1</v>
      </c>
      <c r="BO29" s="168">
        <f t="shared" si="18"/>
        <v>1</v>
      </c>
      <c r="BP29" s="168">
        <f t="shared" si="18"/>
        <v>1</v>
      </c>
      <c r="BQ29" s="168">
        <f t="shared" si="18"/>
        <v>1</v>
      </c>
      <c r="BR29" s="168">
        <f t="shared" si="18"/>
        <v>1</v>
      </c>
      <c r="BS29" s="168">
        <f t="shared" si="18"/>
        <v>1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2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2</v>
      </c>
      <c r="BB40" s="168">
        <f>IF(CdTrp1!H55=1,3,IF(CdTrp1!H55=0.5,2,IF(CdTrp1!H55=0,1,0)))</f>
        <v>2</v>
      </c>
      <c r="BC40" s="168">
        <f>IF(CdTrp1!I55=1,3,IF(CdTrp1!I55=0.5,2,IF(CdTrp1!I55=0,1,0)))</f>
        <v>2</v>
      </c>
      <c r="BD40" s="168">
        <f>IF(CdTrp1!J55=1,3,IF(CdTrp1!J55=0.5,2,IF(CdTrp1!J55=0,1,0)))</f>
        <v>2</v>
      </c>
      <c r="BE40" s="168">
        <f>IF(CdTrp1!K55=1,3,IF(CdTrp1!K55=0.5,2,IF(CdTrp1!K55=0,1,0)))</f>
        <v>2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1</v>
      </c>
      <c r="BC50" s="168">
        <f>IF(CdTrp1!I78=1,1,IF(CdTrp1!I78=2,2,IF(CdTrp1!I78=3,2,0)))</f>
        <v>1</v>
      </c>
      <c r="BD50" s="168">
        <f>IF(CdTrp1!J78=1,1,IF(CdTrp1!J78=2,2,IF(CdTrp1!J78=3,2,0)))</f>
        <v>1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1</v>
      </c>
      <c r="BB51" s="168">
        <f>IF(CdTrp1!H79=1,1,IF(CdTrp1!H79=2,2,IF(CdTrp1!H79=3,2,0)))</f>
        <v>1</v>
      </c>
      <c r="BC51" s="168">
        <f>IF(CdTrp1!I79=1,1,IF(CdTrp1!I79=2,2,IF(CdTrp1!I79=3,2,0)))</f>
        <v>1</v>
      </c>
      <c r="BD51" s="168">
        <f>IF(CdTrp1!J79=1,1,IF(CdTrp1!J79=2,2,IF(CdTrp1!J79=3,2,0)))</f>
        <v>1</v>
      </c>
      <c r="BE51" s="168">
        <f>IF(CdTrp1!K79=1,1,IF(CdTrp1!K79=2,2,IF(CdTrp1!K79=3,2,0)))</f>
        <v>1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6.5</v>
      </c>
      <c r="C56" s="183">
        <f>IF(B56&gt;[1]Trav!E121,[1]Trav!C121,[1]Trav!B121)</f>
        <v>7.2</v>
      </c>
      <c r="D56"/>
      <c r="E56" s="167"/>
      <c r="F56" s="168">
        <f t="shared" si="32"/>
        <v>47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121</v>
      </c>
      <c r="AY61" s="168">
        <f>IF(AY16=0,0,IF(AY38=3,0,VALUE(CONCATENATE(Travail!AY27,Travail!AY38,Travail!AY49))))</f>
        <v>121</v>
      </c>
      <c r="AZ61" s="168">
        <f>IF(AZ16=0,0,IF(AZ38=3,0,VALUE(CONCATENATE(Travail!AZ27,Travail!AZ38,Travail!AZ49))))</f>
        <v>121</v>
      </c>
      <c r="BA61" s="168">
        <f>IF(BA16=0,0,IF(BA38=3,0,VALUE(CONCATENATE(Travail!BA27,Travail!BA38,Travail!BA49))))</f>
        <v>121</v>
      </c>
      <c r="BB61" s="168">
        <f>IF(BB16=0,0,IF(BB38=3,0,VALUE(CONCATENATE(Travail!BB27,Travail!BB38,Travail!BB49))))</f>
        <v>121</v>
      </c>
      <c r="BC61" s="168">
        <f>IF(BC16=0,0,IF(BC38=3,0,VALUE(CONCATENATE(Travail!BC27,Travail!BC38,Travail!BC49))))</f>
        <v>121</v>
      </c>
      <c r="BD61" s="168">
        <f>IF(BD16=0,0,IF(BD38=3,0,VALUE(CONCATENATE(Travail!BD27,Travail!BD38,Travail!BD49))))</f>
        <v>121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221</v>
      </c>
      <c r="BC62" s="168">
        <f>IF(BC17=0,0,IF(BC39=3,0,VALUE(CONCATENATE(Travail!BC28,Travail!BC39,Travail!BC50))))</f>
        <v>221</v>
      </c>
      <c r="BD62" s="168">
        <f>IF(BD17=0,0,IF(BD39=3,0,VALUE(CONCATENATE(Travail!BD28,Travail!BD39,Travail!BD50))))</f>
        <v>221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220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121</v>
      </c>
      <c r="BB63" s="168">
        <f>IF(BB18=0,0,IF(BB40=3,0,VALUE(CONCATENATE(Travail!BB29,Travail!BB40,Travail!BB51))))</f>
        <v>121</v>
      </c>
      <c r="BC63" s="168">
        <f>IF(BC18=0,0,IF(BC40=3,0,VALUE(CONCATENATE(Travail!BC29,Travail!BC40,Travail!BC51))))</f>
        <v>121</v>
      </c>
      <c r="BD63" s="168">
        <f>IF(BD18=0,0,IF(BD40=3,0,VALUE(CONCATENATE(Travail!BD29,Travail!BD40,Travail!BD51))))</f>
        <v>121</v>
      </c>
      <c r="BE63" s="168">
        <f>IF(BE18=0,0,IF(BE40=3,0,VALUE(CONCATENATE(Travail!BE29,Travail!BE40,Travail!BE51))))</f>
        <v>121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13</v>
      </c>
      <c r="AW72" s="168">
        <f t="shared" si="36"/>
        <v>13</v>
      </c>
      <c r="AX72" s="168">
        <f t="shared" si="36"/>
        <v>12</v>
      </c>
      <c r="AY72" s="168">
        <f t="shared" si="36"/>
        <v>12</v>
      </c>
      <c r="AZ72" s="168">
        <f t="shared" si="36"/>
        <v>12</v>
      </c>
      <c r="BA72" s="168">
        <f t="shared" si="36"/>
        <v>12</v>
      </c>
      <c r="BB72" s="168">
        <f t="shared" si="36"/>
        <v>12</v>
      </c>
      <c r="BC72" s="168">
        <f t="shared" si="36"/>
        <v>12</v>
      </c>
      <c r="BD72" s="168">
        <f t="shared" si="36"/>
        <v>12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13</v>
      </c>
      <c r="BQ72" s="168">
        <f t="shared" si="36"/>
        <v>13</v>
      </c>
      <c r="BR72" s="168">
        <f t="shared" si="36"/>
        <v>13</v>
      </c>
      <c r="BS72" s="168">
        <f t="shared" si="36"/>
        <v>13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22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13</v>
      </c>
      <c r="AW74" s="168">
        <f t="shared" si="36"/>
        <v>13</v>
      </c>
      <c r="AX74" s="168">
        <f t="shared" si="36"/>
        <v>13</v>
      </c>
      <c r="AY74" s="168">
        <f t="shared" si="36"/>
        <v>13</v>
      </c>
      <c r="AZ74" s="168">
        <f t="shared" si="36"/>
        <v>13</v>
      </c>
      <c r="BA74" s="168">
        <f t="shared" si="36"/>
        <v>12</v>
      </c>
      <c r="BB74" s="168">
        <f t="shared" si="36"/>
        <v>12</v>
      </c>
      <c r="BC74" s="168">
        <f t="shared" si="36"/>
        <v>12</v>
      </c>
      <c r="BD74" s="168">
        <f t="shared" si="36"/>
        <v>12</v>
      </c>
      <c r="BE74" s="168">
        <f t="shared" si="36"/>
        <v>12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13</v>
      </c>
      <c r="BQ74" s="168">
        <f t="shared" si="36"/>
        <v>13</v>
      </c>
      <c r="BR74" s="168">
        <f t="shared" si="36"/>
        <v>13</v>
      </c>
      <c r="BS74" s="168">
        <f t="shared" si="36"/>
        <v>13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0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10.5</v>
      </c>
      <c r="W77" s="46">
        <f t="shared" si="43"/>
        <v>10.5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0</v>
      </c>
      <c r="C81" s="183">
        <f>[1]Protect!$B$10</f>
        <v>4</v>
      </c>
      <c r="D81" s="167"/>
      <c r="E81" s="167"/>
      <c r="F81" s="168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1</v>
      </c>
      <c r="AY81" s="168">
        <f t="shared" si="44"/>
        <v>0</v>
      </c>
      <c r="AZ81" s="168">
        <f t="shared" si="44"/>
        <v>0</v>
      </c>
      <c r="BA81" s="168">
        <f t="shared" si="44"/>
        <v>0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0</v>
      </c>
      <c r="BQ81" s="168">
        <f t="shared" si="44"/>
        <v>0</v>
      </c>
      <c r="BR81" s="168">
        <f t="shared" si="44"/>
        <v>1</v>
      </c>
      <c r="BS81" s="168">
        <f t="shared" si="44"/>
        <v>2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2</v>
      </c>
      <c r="AW82" s="168">
        <f t="shared" ref="AW82:BS82" si="47">COUNTIF(AW$71:AW$80,13)</f>
        <v>2</v>
      </c>
      <c r="AX82" s="168">
        <f t="shared" si="47"/>
        <v>1</v>
      </c>
      <c r="AY82" s="168">
        <f t="shared" si="47"/>
        <v>1</v>
      </c>
      <c r="AZ82" s="168">
        <f t="shared" si="47"/>
        <v>1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2</v>
      </c>
      <c r="BQ82" s="168">
        <f t="shared" si="47"/>
        <v>2</v>
      </c>
      <c r="BR82" s="168">
        <f t="shared" si="47"/>
        <v>2</v>
      </c>
      <c r="BS82" s="168">
        <f t="shared" si="47"/>
        <v>2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0</v>
      </c>
      <c r="C83" s="183">
        <f>[1]Protect!$B$24+[1]Protect!$B$26</f>
        <v>0.33</v>
      </c>
      <c r="D83" s="167"/>
      <c r="E83" s="167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1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1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1</v>
      </c>
      <c r="AY84" s="168">
        <f t="shared" si="53"/>
        <v>1</v>
      </c>
      <c r="AZ84" s="168">
        <f t="shared" si="53"/>
        <v>1</v>
      </c>
      <c r="BA84" s="168">
        <f t="shared" si="53"/>
        <v>2</v>
      </c>
      <c r="BB84" s="168">
        <f t="shared" si="53"/>
        <v>2</v>
      </c>
      <c r="BC84" s="168">
        <f t="shared" si="53"/>
        <v>2</v>
      </c>
      <c r="BD84" s="168">
        <f t="shared" si="53"/>
        <v>2</v>
      </c>
      <c r="BE84" s="168">
        <f t="shared" si="53"/>
        <v>1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13</v>
      </c>
      <c r="AZ85" s="62">
        <f t="shared" si="56"/>
        <v>13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13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21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1323.5948736462094</v>
      </c>
      <c r="C91" s="5"/>
      <c r="D91" s="197">
        <f>B91/Troupeau!$B$17</f>
        <v>5.4245691542877434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1323.5948736462094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224</v>
      </c>
      <c r="C95" s="5"/>
      <c r="D95" s="197">
        <f>B95/Troupeau!$B$17</f>
        <v>0.91803278688524592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224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28.93072202166065</v>
      </c>
      <c r="BB102" s="62">
        <f t="shared" si="77"/>
        <v>28.899891696750906</v>
      </c>
      <c r="BC102" s="62">
        <f t="shared" si="77"/>
        <v>28.869061371841156</v>
      </c>
      <c r="BD102" s="62">
        <f t="shared" si="77"/>
        <v>28.838231046931408</v>
      </c>
      <c r="BE102" s="62">
        <f t="shared" si="77"/>
        <v>28.807400722021661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210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14</v>
      </c>
      <c r="BC108" s="183">
        <f>IF(BC62&gt;0,HLOOKUP(BC62,[1]Trav!$C$11:$O$31,$AU$105),0)</f>
        <v>14</v>
      </c>
      <c r="BD108" s="183">
        <f>IF(BD62&gt;0,HLOOKUP(BD62,[1]Trav!$C$11:$O$31,$AU$105),0)</f>
        <v>14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0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14</v>
      </c>
      <c r="BB109" s="183">
        <f>IF(BB63&gt;0,HLOOKUP(BB63,[1]Trav!$C$11:$O$31,$AU$105),0)</f>
        <v>14</v>
      </c>
      <c r="BC109" s="183">
        <f>IF(BC63&gt;0,HLOOKUP(BC63,[1]Trav!$C$11:$O$31,$AU$105),0)</f>
        <v>14</v>
      </c>
      <c r="BD109" s="183">
        <f>IF(BD63&gt;0,HLOOKUP(BD63,[1]Trav!$C$11:$O$31,$AU$105),0)</f>
        <v>14</v>
      </c>
      <c r="BE109" s="183">
        <f>IF(BE63&gt;0,HLOOKUP(BE63,[1]Trav!$C$11:$O$31,$AU$105),0)</f>
        <v>14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0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0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0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0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28</v>
      </c>
      <c r="AY117" s="168">
        <f t="shared" si="83"/>
        <v>42</v>
      </c>
      <c r="AZ117" s="168">
        <f t="shared" si="83"/>
        <v>42</v>
      </c>
      <c r="BA117" s="168">
        <f t="shared" si="83"/>
        <v>56</v>
      </c>
      <c r="BB117" s="168">
        <f t="shared" si="83"/>
        <v>56</v>
      </c>
      <c r="BC117" s="168">
        <f t="shared" si="83"/>
        <v>56</v>
      </c>
      <c r="BD117" s="168">
        <f t="shared" si="83"/>
        <v>56</v>
      </c>
      <c r="BE117" s="168">
        <f t="shared" si="83"/>
        <v>42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3893.4048736462091</v>
      </c>
      <c r="D118" s="197">
        <f>B118/Troupeau!$B$17</f>
        <v>15.956577351009054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3893.4048736462091</v>
      </c>
    </row>
    <row r="123" spans="1:132" x14ac:dyDescent="0.25">
      <c r="A123" s="2" t="s">
        <v>891</v>
      </c>
      <c r="B123" s="30">
        <f>B108</f>
        <v>210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0</v>
      </c>
    </row>
    <row r="126" spans="1:132" x14ac:dyDescent="0.25">
      <c r="A126" s="2" t="s">
        <v>907</v>
      </c>
      <c r="B126" s="30">
        <f>B114+B115+B116</f>
        <v>0</v>
      </c>
    </row>
    <row r="128" spans="1:132" x14ac:dyDescent="0.25">
      <c r="A128" s="2" t="s">
        <v>908</v>
      </c>
      <c r="B128" s="196">
        <f>SUM(B122:B126)</f>
        <v>4703.4048736462091</v>
      </c>
    </row>
    <row r="129" spans="1:2" x14ac:dyDescent="0.25">
      <c r="A129" s="2" t="s">
        <v>909</v>
      </c>
      <c r="B129" s="30">
        <f>IF(Scénario!K129=1,Travail!F77+Travail!F86,F86)</f>
        <v>0</v>
      </c>
    </row>
    <row r="130" spans="1:2" x14ac:dyDescent="0.25">
      <c r="A130" s="2" t="s">
        <v>910</v>
      </c>
      <c r="B130" s="196">
        <f>ROUND((B128-B129)/(Scénario!K4+Scénario!K6),0)</f>
        <v>2352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109435.50399999999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1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1</v>
      </c>
      <c r="BB51" s="216">
        <f>IF(CdTrp1!H79=1,1,IF(CdTrp1!H79=2,2,IF(CdTrp1!H79=3,2,0)))</f>
        <v>1</v>
      </c>
      <c r="BC51" s="216">
        <f>IF(CdTrp1!I79=1,1,IF(CdTrp1!I79=2,2,IF(CdTrp1!I79=3,2,0)))</f>
        <v>1</v>
      </c>
      <c r="BD51" s="216">
        <f>IF(CdTrp1!J79=1,1,IF(CdTrp1!J79=2,2,IF(CdTrp1!J79=3,2,0)))</f>
        <v>1</v>
      </c>
      <c r="BE51" s="216">
        <f>IF(CdTrp1!K79=1,1,IF(CdTrp1!K79=2,2,IF(CdTrp1!K79=3,2,0)))</f>
        <v>1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33.599999999999994</v>
      </c>
      <c r="C118" s="183">
        <f>IF(Scénario!$K$12="BV",[1]Eco!$B$78,IF(Scénario!$K$12="BL",[1]Eco!$B$77,[1]Eco!$B$76))</f>
        <v>223</v>
      </c>
      <c r="J118" s="168">
        <f>B118*C118</f>
        <v>7492.7999999999984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24.563744520976833</v>
      </c>
      <c r="C119" s="183">
        <f>[1]Eco!$B$79</f>
        <v>80</v>
      </c>
      <c r="J119" s="168">
        <f>B119*C119</f>
        <v>1965.0995616781465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9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544.59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6.5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440.375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0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0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30461.764561678148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6.5</v>
      </c>
      <c r="X154" t="s">
        <v>50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72"/>
        <v>4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4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37683.699999999997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41290.039438321837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20645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35290.039438321837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17645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6.5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9</v>
      </c>
      <c r="AJ228" s="62">
        <f t="shared" si="86"/>
        <v>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0</v>
      </c>
      <c r="U234" t="s">
        <v>1139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0</v>
      </c>
      <c r="X245" s="168">
        <f>ROUND((([1]Protect!$B$5/[1]Protect!$B$11)+[1]Protect!$B$8)*T245,0)</f>
        <v>0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1154</v>
      </c>
      <c r="T247" s="30">
        <f>Travail!F16/8</f>
        <v>28</v>
      </c>
      <c r="W247" s="168">
        <f>[1]Eco!$B$111</f>
        <v>28.3</v>
      </c>
      <c r="X247" s="168">
        <f>T247*W247</f>
        <v>792.4</v>
      </c>
    </row>
    <row r="248" spans="17:31" x14ac:dyDescent="0.25">
      <c r="W248" s="14" t="s">
        <v>1155</v>
      </c>
      <c r="X248" s="168">
        <f>SUM(X245:X247)</f>
        <v>792.4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9835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732.00000000000011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0</v>
      </c>
      <c r="U257" s="168">
        <f>IF(T257=0,0,[1]Protect!$B77)</f>
        <v>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1</v>
      </c>
      <c r="U258" s="168">
        <f>IF(T258=0,0,[1]Protect!$B78)</f>
        <v>20000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7868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7868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Z2_OL_T1_C1si</v>
      </c>
      <c r="D1" s="252" t="str">
        <f>CONCATENATE(C1,"_corr")</f>
        <v>Z2_OL_T1_C1si_corr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3</v>
      </c>
      <c r="D25" s="172">
        <f t="shared" si="0"/>
        <v>3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2</v>
      </c>
      <c r="D27" s="172">
        <f t="shared" si="0"/>
        <v>2</v>
      </c>
    </row>
    <row r="28" spans="2:5" x14ac:dyDescent="0.25">
      <c r="B28" s="14" t="s">
        <v>582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0</v>
      </c>
      <c r="D51" s="172">
        <f t="shared" si="0"/>
        <v>0</v>
      </c>
      <c r="E51" s="14"/>
    </row>
    <row r="52" spans="1:132" x14ac:dyDescent="0.25">
      <c r="B52" s="19" t="s">
        <v>603</v>
      </c>
      <c r="C52" s="172">
        <f>Scénario!K84</f>
        <v>0</v>
      </c>
      <c r="D52" s="172">
        <f t="shared" si="0"/>
        <v>0</v>
      </c>
      <c r="E52" s="14"/>
    </row>
    <row r="53" spans="1:132" x14ac:dyDescent="0.25">
      <c r="B53" s="14" t="s">
        <v>614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631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6.5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faible</v>
      </c>
      <c r="AV88" s="168">
        <f t="shared" si="15"/>
        <v>1</v>
      </c>
      <c r="AW88" s="168">
        <f t="shared" si="15"/>
        <v>1</v>
      </c>
      <c r="AX88" s="168">
        <f t="shared" si="15"/>
        <v>1</v>
      </c>
      <c r="AY88" s="168">
        <f t="shared" si="15"/>
        <v>1</v>
      </c>
      <c r="AZ88" s="168">
        <f t="shared" si="15"/>
        <v>1</v>
      </c>
      <c r="BA88" s="168">
        <f t="shared" si="15"/>
        <v>1</v>
      </c>
      <c r="BB88" s="168">
        <f t="shared" si="15"/>
        <v>1</v>
      </c>
      <c r="BC88" s="168">
        <f t="shared" si="15"/>
        <v>1</v>
      </c>
      <c r="BD88" s="168">
        <f t="shared" si="15"/>
        <v>1</v>
      </c>
      <c r="BE88" s="168">
        <f t="shared" si="15"/>
        <v>1</v>
      </c>
      <c r="BF88" s="168">
        <f t="shared" si="15"/>
        <v>1</v>
      </c>
      <c r="BG88" s="168">
        <f t="shared" si="15"/>
        <v>1</v>
      </c>
      <c r="BH88" s="168">
        <f t="shared" si="15"/>
        <v>1</v>
      </c>
      <c r="BI88" s="168">
        <f t="shared" si="15"/>
        <v>1</v>
      </c>
      <c r="BJ88" s="168">
        <f t="shared" si="15"/>
        <v>1</v>
      </c>
      <c r="BK88" s="168">
        <f t="shared" si="15"/>
        <v>1</v>
      </c>
      <c r="BL88" s="168">
        <f t="shared" si="16"/>
        <v>1</v>
      </c>
      <c r="BM88" s="168">
        <f t="shared" si="16"/>
        <v>1</v>
      </c>
      <c r="BN88" s="168">
        <f t="shared" si="16"/>
        <v>1</v>
      </c>
      <c r="BO88" s="168">
        <f t="shared" si="16"/>
        <v>1</v>
      </c>
      <c r="BP88" s="168">
        <f t="shared" si="16"/>
        <v>1</v>
      </c>
      <c r="BQ88" s="168">
        <f t="shared" si="16"/>
        <v>1</v>
      </c>
      <c r="BR88" s="168">
        <f t="shared" si="16"/>
        <v>1</v>
      </c>
      <c r="BS88" s="168">
        <f t="shared" si="16"/>
        <v>1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1</v>
      </c>
      <c r="CC88" s="168">
        <f t="shared" si="18"/>
        <v>1</v>
      </c>
      <c r="CD88" s="168">
        <f t="shared" si="18"/>
        <v>1</v>
      </c>
      <c r="CE88" s="168">
        <f t="shared" si="18"/>
        <v>1</v>
      </c>
      <c r="CF88" s="168">
        <f t="shared" si="18"/>
        <v>1</v>
      </c>
      <c r="CG88" s="168">
        <f t="shared" si="18"/>
        <v>1</v>
      </c>
      <c r="CH88" s="168">
        <f t="shared" si="18"/>
        <v>1</v>
      </c>
      <c r="CI88" s="168">
        <f t="shared" si="18"/>
        <v>1</v>
      </c>
      <c r="CJ88" s="168">
        <f t="shared" si="18"/>
        <v>1</v>
      </c>
      <c r="CK88" s="168">
        <f t="shared" si="18"/>
        <v>1</v>
      </c>
      <c r="CL88" s="168">
        <f t="shared" si="18"/>
        <v>1</v>
      </c>
      <c r="CM88" s="168">
        <f t="shared" si="18"/>
        <v>1</v>
      </c>
      <c r="CN88" s="168">
        <f t="shared" si="18"/>
        <v>1</v>
      </c>
      <c r="CO88" s="168">
        <f t="shared" si="18"/>
        <v>1</v>
      </c>
      <c r="CP88" s="168">
        <f t="shared" si="18"/>
        <v>1</v>
      </c>
      <c r="CQ88" s="168">
        <f t="shared" si="18"/>
        <v>1</v>
      </c>
      <c r="CR88" s="168">
        <f t="shared" si="18"/>
        <v>1</v>
      </c>
      <c r="CS88" s="168">
        <f t="shared" si="18"/>
        <v>1</v>
      </c>
      <c r="CT88" s="168">
        <f t="shared" si="18"/>
        <v>1</v>
      </c>
      <c r="CU88" s="168">
        <f t="shared" si="18"/>
        <v>1</v>
      </c>
      <c r="CV88" s="168">
        <f t="shared" si="18"/>
        <v>1</v>
      </c>
      <c r="CW88" s="168">
        <f t="shared" si="18"/>
        <v>1</v>
      </c>
      <c r="CX88" s="168">
        <f t="shared" si="18"/>
        <v>1</v>
      </c>
      <c r="CY88" s="168">
        <f t="shared" si="18"/>
        <v>1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faible</v>
      </c>
      <c r="AV90" s="168">
        <f t="shared" si="15"/>
        <v>1</v>
      </c>
      <c r="AW90" s="168">
        <f t="shared" si="15"/>
        <v>1</v>
      </c>
      <c r="AX90" s="168">
        <f t="shared" si="15"/>
        <v>1</v>
      </c>
      <c r="AY90" s="168">
        <f t="shared" si="15"/>
        <v>1</v>
      </c>
      <c r="AZ90" s="168">
        <f t="shared" si="15"/>
        <v>1</v>
      </c>
      <c r="BA90" s="168">
        <f t="shared" si="15"/>
        <v>1</v>
      </c>
      <c r="BB90" s="168">
        <f t="shared" si="15"/>
        <v>1</v>
      </c>
      <c r="BC90" s="168">
        <f t="shared" si="15"/>
        <v>1</v>
      </c>
      <c r="BD90" s="168">
        <f t="shared" si="15"/>
        <v>1</v>
      </c>
      <c r="BE90" s="168">
        <f t="shared" si="15"/>
        <v>1</v>
      </c>
      <c r="BF90" s="168">
        <f t="shared" si="15"/>
        <v>1</v>
      </c>
      <c r="BG90" s="168">
        <f t="shared" si="15"/>
        <v>1</v>
      </c>
      <c r="BH90" s="168">
        <f t="shared" si="15"/>
        <v>1</v>
      </c>
      <c r="BI90" s="168">
        <f t="shared" si="15"/>
        <v>1</v>
      </c>
      <c r="BJ90" s="168">
        <f t="shared" si="15"/>
        <v>1</v>
      </c>
      <c r="BK90" s="168">
        <f t="shared" si="15"/>
        <v>1</v>
      </c>
      <c r="BL90" s="168">
        <f t="shared" si="16"/>
        <v>1</v>
      </c>
      <c r="BM90" s="168">
        <f t="shared" si="16"/>
        <v>1</v>
      </c>
      <c r="BN90" s="168">
        <f t="shared" si="16"/>
        <v>1</v>
      </c>
      <c r="BO90" s="168">
        <f t="shared" si="16"/>
        <v>1</v>
      </c>
      <c r="BP90" s="168">
        <f t="shared" si="16"/>
        <v>1</v>
      </c>
      <c r="BQ90" s="168">
        <f t="shared" si="16"/>
        <v>1</v>
      </c>
      <c r="BR90" s="168">
        <f t="shared" si="16"/>
        <v>1</v>
      </c>
      <c r="BS90" s="168">
        <f t="shared" si="16"/>
        <v>1</v>
      </c>
      <c r="BZ90" s="182" t="str">
        <f t="shared" si="17"/>
        <v>lot4</v>
      </c>
      <c r="CA90" s="185">
        <f>Scénario!K109</f>
        <v>0</v>
      </c>
      <c r="CB90" s="168">
        <f t="shared" si="21"/>
        <v>1</v>
      </c>
      <c r="CC90" s="168">
        <f t="shared" si="18"/>
        <v>1</v>
      </c>
      <c r="CD90" s="168">
        <f t="shared" si="18"/>
        <v>1</v>
      </c>
      <c r="CE90" s="168">
        <f t="shared" si="18"/>
        <v>1</v>
      </c>
      <c r="CF90" s="168">
        <f t="shared" si="18"/>
        <v>1</v>
      </c>
      <c r="CG90" s="168">
        <f t="shared" si="18"/>
        <v>1</v>
      </c>
      <c r="CH90" s="168">
        <f t="shared" si="18"/>
        <v>1</v>
      </c>
      <c r="CI90" s="168">
        <f t="shared" si="18"/>
        <v>1</v>
      </c>
      <c r="CJ90" s="168">
        <f t="shared" si="18"/>
        <v>1</v>
      </c>
      <c r="CK90" s="168">
        <f t="shared" si="18"/>
        <v>1</v>
      </c>
      <c r="CL90" s="168">
        <f t="shared" si="18"/>
        <v>1</v>
      </c>
      <c r="CM90" s="168">
        <f t="shared" si="18"/>
        <v>1</v>
      </c>
      <c r="CN90" s="168">
        <f t="shared" si="18"/>
        <v>1</v>
      </c>
      <c r="CO90" s="168">
        <f t="shared" si="18"/>
        <v>1</v>
      </c>
      <c r="CP90" s="168">
        <f t="shared" si="18"/>
        <v>1</v>
      </c>
      <c r="CQ90" s="168">
        <f t="shared" si="18"/>
        <v>1</v>
      </c>
      <c r="CR90" s="168">
        <f t="shared" si="18"/>
        <v>1</v>
      </c>
      <c r="CS90" s="168">
        <f t="shared" si="18"/>
        <v>1</v>
      </c>
      <c r="CT90" s="168">
        <f t="shared" si="18"/>
        <v>1</v>
      </c>
      <c r="CU90" s="168">
        <f t="shared" si="18"/>
        <v>1</v>
      </c>
      <c r="CV90" s="168">
        <f t="shared" si="18"/>
        <v>1</v>
      </c>
      <c r="CW90" s="168">
        <f t="shared" si="18"/>
        <v>1</v>
      </c>
      <c r="CX90" s="168">
        <f t="shared" si="18"/>
        <v>1</v>
      </c>
      <c r="CY90" s="168">
        <f t="shared" si="18"/>
        <v>1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4</v>
      </c>
      <c r="D98" s="168">
        <f>C98</f>
        <v>4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2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4</v>
      </c>
      <c r="D101" s="168">
        <f t="shared" si="25"/>
        <v>4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2</v>
      </c>
      <c r="BB101" s="168">
        <f>IF(CdTrp1!H55=1,3,IF(CdTrp1!H55=0.5,2,IF(CdTrp1!H55=0,1,0)))</f>
        <v>2</v>
      </c>
      <c r="BC101" s="168">
        <f>IF(CdTrp1!I55=1,3,IF(CdTrp1!I55=0.5,2,IF(CdTrp1!I55=0,1,0)))</f>
        <v>2</v>
      </c>
      <c r="BD101" s="168">
        <f>IF(CdTrp1!J55=1,3,IF(CdTrp1!J55=0.5,2,IF(CdTrp1!J55=0,1,0)))</f>
        <v>2</v>
      </c>
      <c r="BE101" s="168">
        <f>IF(CdTrp1!K55=1,3,IF(CdTrp1!K55=0.5,2,IF(CdTrp1!K55=0,1,0)))</f>
        <v>2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25.5</v>
      </c>
      <c r="D106" s="168">
        <f t="shared" si="25"/>
        <v>25.5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25.5</v>
      </c>
      <c r="D109" s="168">
        <f t="shared" si="25"/>
        <v>25.5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20.5</v>
      </c>
      <c r="D110" s="168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1</v>
      </c>
      <c r="BC111" s="168">
        <f>IF(CdTrp1!I78=1,1,IF(CdTrp1!I78=2,2,IF(CdTrp1!I78=3,2,IF(CdTrp1!I78=4,4,0))))</f>
        <v>1</v>
      </c>
      <c r="BD111" s="168">
        <f>IF(CdTrp1!J78=1,1,IF(CdTrp1!J78=2,2,IF(CdTrp1!J78=3,2,IF(CdTrp1!J78=4,4,0))))</f>
        <v>1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1</v>
      </c>
      <c r="BB112" s="168">
        <f>IF(CdTrp1!H79=1,1,IF(CdTrp1!H79=2,2,IF(CdTrp1!H79=3,2,IF(CdTrp1!H79=4,4,0))))</f>
        <v>1</v>
      </c>
      <c r="BC112" s="168">
        <f>IF(CdTrp1!I79=1,1,IF(CdTrp1!I79=2,2,IF(CdTrp1!I79=3,2,IF(CdTrp1!I79=4,4,0))))</f>
        <v>1</v>
      </c>
      <c r="BD112" s="168">
        <f>IF(CdTrp1!J79=1,1,IF(CdTrp1!J79=2,2,IF(CdTrp1!J79=3,2,IF(CdTrp1!J79=4,4,0))))</f>
        <v>1</v>
      </c>
      <c r="BE112" s="168">
        <f>IF(CdTrp1!K79=1,1,IF(CdTrp1!K79=2,2,IF(CdTrp1!K79=3,2,IF(CdTrp1!K79=4,4,0))))</f>
        <v>1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85.043903757400798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110.53131699379061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58.85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50.326105663537916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77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110.6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8.5238943364620852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85.5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-33.599999999999994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33.599999999999994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79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0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1345</v>
      </c>
      <c r="C188" s="168">
        <f>'Calcul éco'!T236</f>
        <v>0</v>
      </c>
      <c r="D188" s="168">
        <f t="shared" ref="D188:D189" si="101">C188</f>
        <v>0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0</v>
      </c>
      <c r="D189" s="168">
        <f t="shared" si="101"/>
        <v>0</v>
      </c>
      <c r="AH189" s="15"/>
      <c r="AJ189" s="14" t="s">
        <v>1152</v>
      </c>
      <c r="AK189" s="30">
        <f>D189</f>
        <v>0</v>
      </c>
      <c r="AO189" s="168">
        <f>ROUND((([1]Protect!$B$5/[1]Protect!$B$11)+[1]Protect!$B$8)*AK189,0)</f>
        <v>0</v>
      </c>
    </row>
    <row r="190" spans="1:132" x14ac:dyDescent="0.25">
      <c r="B190" s="14" t="s">
        <v>1347</v>
      </c>
      <c r="C190" s="168">
        <f>'Calcul éco'!T246*(30)</f>
        <v>0</v>
      </c>
      <c r="D190" s="168">
        <f>C190</f>
        <v>0</v>
      </c>
      <c r="AH190" s="15"/>
      <c r="AJ190" s="14" t="s">
        <v>1153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1348</v>
      </c>
      <c r="C191" s="193">
        <f>ROUND(SUM(Travail!F69:F74)/8,1)</f>
        <v>0</v>
      </c>
      <c r="D191" s="168">
        <f>C191</f>
        <v>0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28</v>
      </c>
      <c r="AN191" s="168">
        <f>[1]Eco!$B$111</f>
        <v>28.3</v>
      </c>
      <c r="AO191" s="168">
        <f>AK191*AN191</f>
        <v>792.4</v>
      </c>
    </row>
    <row r="192" spans="1:132" x14ac:dyDescent="0.25">
      <c r="B192" s="14" t="s">
        <v>1352</v>
      </c>
      <c r="C192" s="168">
        <f>(Travail!F83+Travail!F84)/8</f>
        <v>0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792.4</v>
      </c>
    </row>
    <row r="193" spans="1:43" x14ac:dyDescent="0.25">
      <c r="B193" s="14" t="s">
        <v>1354</v>
      </c>
      <c r="C193" s="168">
        <f>(Travail!F75+Travail!F76+Travail!F81)/8</f>
        <v>0</v>
      </c>
      <c r="D193" s="168">
        <f>C193</f>
        <v>0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792.4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792.4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0</v>
      </c>
      <c r="D210" s="261">
        <f>ROUND(AL207,0)</f>
        <v>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35420.199999999997</v>
      </c>
      <c r="D211" s="261">
        <f>ROUND(SUM(D201:D210),0)</f>
        <v>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1052.4650000000001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9457.8995616781449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0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0</v>
      </c>
      <c r="D220" s="261">
        <f>SUM(AN215:AN219)</f>
        <v>0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30461</v>
      </c>
      <c r="D221" s="261">
        <f>ROUND(SUM(D216:D220),0)</f>
        <v>0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1398</v>
      </c>
      <c r="C235" s="168">
        <f>'Calcul éco'!J167</f>
        <v>0</v>
      </c>
      <c r="D235" s="261">
        <f>(D191+D192)*8*[1]Eco!$B$106</f>
        <v>0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37684</v>
      </c>
      <c r="D236" s="261">
        <f>ROUND(SUM(D222:D235),0)</f>
        <v>15887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41290.199999999997</v>
      </c>
      <c r="D237" s="261">
        <f>D194+D211-D221-D236</f>
        <v>-15887</v>
      </c>
    </row>
    <row r="238" spans="1:49" x14ac:dyDescent="0.25">
      <c r="B238" s="206" t="s">
        <v>1128</v>
      </c>
      <c r="C238" s="168">
        <f>ROUND(C237/Scénario!$K$4,0)</f>
        <v>20645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0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35290</v>
      </c>
      <c r="D241" s="265">
        <f>ROUND(D237-D239-D240,0)</f>
        <v>-21887</v>
      </c>
    </row>
    <row r="242" spans="1:15" x14ac:dyDescent="0.25">
      <c r="B242" s="206" t="s">
        <v>1132</v>
      </c>
      <c r="C242" s="168">
        <f>ROUND(C241/Scénario!K4,0)</f>
        <v>17645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6" t="s">
        <v>1403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1404</v>
      </c>
      <c r="B245" s="14" t="s">
        <v>570</v>
      </c>
      <c r="C245" s="267">
        <f>Travail!F5</f>
        <v>574</v>
      </c>
      <c r="D245" s="168">
        <f>C245</f>
        <v>574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749.59487364620941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224</v>
      </c>
      <c r="D251" s="168">
        <f>C251</f>
        <v>224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47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0</v>
      </c>
      <c r="D275" s="168">
        <f>C275</f>
        <v>0</v>
      </c>
    </row>
    <row r="276" spans="1:4" x14ac:dyDescent="0.25">
      <c r="A276" s="23"/>
      <c r="B276" s="32" t="s">
        <v>1414</v>
      </c>
      <c r="C276" s="267">
        <f>C192*8</f>
        <v>0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0</v>
      </c>
      <c r="D277" s="168">
        <f>C277</f>
        <v>0</v>
      </c>
    </row>
    <row r="278" spans="1:4" x14ac:dyDescent="0.25">
      <c r="B278" s="32" t="s">
        <v>1416</v>
      </c>
      <c r="C278" s="267">
        <f>Travail!F76</f>
        <v>0</v>
      </c>
      <c r="D278" s="168">
        <f>C278</f>
        <v>0</v>
      </c>
    </row>
    <row r="279" spans="1:4" x14ac:dyDescent="0.25">
      <c r="B279" s="32" t="s">
        <v>1417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3893</v>
      </c>
      <c r="D281" s="261">
        <f>ROUND(D245+D248+D251+D254+D257+D260+D261,0)</f>
        <v>1018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15.95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3893</v>
      </c>
      <c r="D287" s="261">
        <f>SUM(D281:D283)</f>
        <v>1018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210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0</v>
      </c>
      <c r="D290" s="268">
        <f>D275+D276+D277</f>
        <v>0</v>
      </c>
    </row>
    <row r="291" spans="2:4" x14ac:dyDescent="0.25">
      <c r="B291" s="14" t="s">
        <v>1430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908</v>
      </c>
      <c r="C292" s="168">
        <f>ROUND(SUM(C287:C291),0)</f>
        <v>4703</v>
      </c>
      <c r="D292" s="261">
        <f>ROUND(SUM(D287:D291),0)</f>
        <v>1618</v>
      </c>
    </row>
    <row r="293" spans="2:4" x14ac:dyDescent="0.25">
      <c r="B293" s="14" t="s">
        <v>909</v>
      </c>
      <c r="C293" s="168">
        <f>ROUND(IF(Scénario!$K$129=1,SUM(C275:C280),SUM(C278:C280)),0)</f>
        <v>0</v>
      </c>
      <c r="D293" s="168">
        <f>ROUND(IF(Scénario!$K$129=1,SUM(D275:D280),SUM(D278:D280)),0)</f>
        <v>0</v>
      </c>
    </row>
    <row r="294" spans="2:4" x14ac:dyDescent="0.25">
      <c r="B294" s="14" t="s">
        <v>910</v>
      </c>
      <c r="C294" s="168">
        <f>ROUND((C292-C293)/C83,0)</f>
        <v>2352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50.326105663537909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0</v>
      </c>
    </row>
    <row r="308" spans="2:3" x14ac:dyDescent="0.25">
      <c r="B308" s="14" t="s">
        <v>1463</v>
      </c>
      <c r="C308" s="168">
        <f>'Calcul éco'!X235</f>
        <v>0</v>
      </c>
    </row>
    <row r="309" spans="2:3" x14ac:dyDescent="0.25">
      <c r="B309" s="14" t="s">
        <v>1464</v>
      </c>
      <c r="C309" s="168">
        <f>'Calcul éco'!X236</f>
        <v>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zoomScaleNormal="100" workbookViewId="0">
      <pane ySplit="1" topLeftCell="A42" activePane="bottomLeft" state="frozen"/>
      <selection pane="bottomLeft" activeCell="K2" sqref="K1:U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0.5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28.463744520976832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22.937761732851985</v>
      </c>
      <c r="E65" s="61">
        <f t="shared" si="19"/>
        <v>22.937761732851985</v>
      </c>
      <c r="F65" s="61">
        <f t="shared" si="19"/>
        <v>40.141083032490975</v>
      </c>
      <c r="G65" s="61">
        <f t="shared" si="19"/>
        <v>40.141083032490975</v>
      </c>
      <c r="H65" s="61">
        <f t="shared" si="19"/>
        <v>38.846209386281593</v>
      </c>
      <c r="I65" s="61">
        <f t="shared" si="19"/>
        <v>38.846209386281593</v>
      </c>
      <c r="J65" s="61">
        <f t="shared" si="19"/>
        <v>40.141083032490975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25.395379061371841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6.1440433212996384</v>
      </c>
      <c r="H66" s="61">
        <f t="shared" si="20"/>
        <v>5.9458483754512628</v>
      </c>
      <c r="I66" s="61">
        <f t="shared" si="20"/>
        <v>5.9458483754512628</v>
      </c>
      <c r="J66" s="61">
        <f t="shared" si="20"/>
        <v>6.1440433212996384</v>
      </c>
      <c r="K66" s="61">
        <f t="shared" si="20"/>
        <v>6.1440433212996384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456</v>
      </c>
      <c r="E73" s="64">
        <f t="shared" si="27"/>
        <v>259</v>
      </c>
      <c r="F73" s="64">
        <f t="shared" si="27"/>
        <v>299</v>
      </c>
      <c r="G73" s="64">
        <f t="shared" si="27"/>
        <v>292</v>
      </c>
      <c r="H73" s="64">
        <f t="shared" si="27"/>
        <v>282</v>
      </c>
      <c r="I73" s="64">
        <f t="shared" si="27"/>
        <v>281</v>
      </c>
      <c r="J73" s="64">
        <f t="shared" si="27"/>
        <v>289</v>
      </c>
      <c r="K73" s="64">
        <f t="shared" si="27"/>
        <v>288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576</v>
      </c>
      <c r="Y73" s="64">
        <f t="shared" si="27"/>
        <v>602</v>
      </c>
      <c r="Z73" s="52"/>
      <c r="AA73" s="56">
        <f>ROUND(SUM(B73:Y73),0)</f>
        <v>6636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 t="s">
        <v>449</v>
      </c>
      <c r="AC78">
        <f>COUNTIF($B$76:$Y$85,"&gt;0")/2</f>
        <v>25.5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20.5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>
        <v>0</v>
      </c>
      <c r="C125" s="60">
        <v>0</v>
      </c>
      <c r="D125" s="60">
        <v>0.3</v>
      </c>
      <c r="E125" s="60">
        <v>0.5</v>
      </c>
      <c r="F125" s="60">
        <v>0.5</v>
      </c>
      <c r="G125" s="60">
        <v>0.5</v>
      </c>
      <c r="H125" s="60">
        <v>0.5</v>
      </c>
      <c r="I125" s="159">
        <v>0.8</v>
      </c>
      <c r="J125" s="159">
        <v>0.8</v>
      </c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0.5</v>
      </c>
      <c r="H126" s="60">
        <v>0.5</v>
      </c>
      <c r="I126" s="60">
        <v>0.5</v>
      </c>
      <c r="J126" s="60">
        <v>0.5</v>
      </c>
      <c r="K126" s="60">
        <v>0.5</v>
      </c>
      <c r="L126" s="60">
        <v>0.5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0</v>
      </c>
      <c r="W126" s="60">
        <v>0</v>
      </c>
      <c r="X126" s="60">
        <v>0</v>
      </c>
      <c r="Y126" s="60">
        <v>0</v>
      </c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0.41746726353790609</v>
      </c>
      <c r="E138" s="61">
        <f t="shared" si="51"/>
        <v>0.29819090252707581</v>
      </c>
      <c r="F138" s="61">
        <f t="shared" si="51"/>
        <v>0.52183407942238269</v>
      </c>
      <c r="G138" s="61">
        <f t="shared" si="51"/>
        <v>0.52183407942238269</v>
      </c>
      <c r="H138" s="61">
        <f t="shared" si="51"/>
        <v>0.50500072202166069</v>
      </c>
      <c r="I138" s="61">
        <f t="shared" si="51"/>
        <v>0.20200028880866422</v>
      </c>
      <c r="J138" s="61">
        <f t="shared" si="51"/>
        <v>0.20873363176895304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8.2017957400722015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7.9872563176895298E-2</v>
      </c>
      <c r="H139" s="61">
        <f t="shared" si="51"/>
        <v>7.729602888086641E-2</v>
      </c>
      <c r="I139" s="61">
        <f t="shared" si="51"/>
        <v>7.729602888086641E-2</v>
      </c>
      <c r="J139" s="61">
        <f t="shared" si="51"/>
        <v>7.9872563176895298E-2</v>
      </c>
      <c r="K139" s="61">
        <f t="shared" si="51"/>
        <v>7.9872563176895298E-2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1.7906913357400718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96.114188690252718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110.53131699379061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0.17891454151624553</v>
      </c>
      <c r="E151" s="61">
        <f t="shared" si="56"/>
        <v>0.29819090252707581</v>
      </c>
      <c r="F151" s="61">
        <f t="shared" si="56"/>
        <v>0.52183407942238269</v>
      </c>
      <c r="G151" s="61">
        <f t="shared" si="56"/>
        <v>0.52183407942238269</v>
      </c>
      <c r="H151" s="61">
        <f t="shared" si="56"/>
        <v>0.50500072202166069</v>
      </c>
      <c r="I151" s="61">
        <f t="shared" si="56"/>
        <v>0.8080011552346571</v>
      </c>
      <c r="J151" s="61">
        <f t="shared" si="56"/>
        <v>0.83493452707581239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7.9872563176895298E-2</v>
      </c>
      <c r="H152" s="61">
        <f t="shared" si="57"/>
        <v>7.729602888086641E-2</v>
      </c>
      <c r="I152" s="61">
        <f t="shared" si="57"/>
        <v>7.729602888086641E-2</v>
      </c>
      <c r="J152" s="61">
        <f t="shared" si="57"/>
        <v>7.9872563176895298E-2</v>
      </c>
      <c r="K152" s="61">
        <f t="shared" si="57"/>
        <v>7.9872563176895298E-2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85.043903757400798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0.17891454151624553</v>
      </c>
      <c r="E164" s="61">
        <f t="shared" si="66"/>
        <v>0.29819090252707581</v>
      </c>
      <c r="F164" s="61">
        <f t="shared" si="66"/>
        <v>0.52183407942238269</v>
      </c>
      <c r="G164" s="61">
        <f t="shared" si="66"/>
        <v>0.52183407942238269</v>
      </c>
      <c r="H164" s="61">
        <f t="shared" si="66"/>
        <v>0.50500072202166069</v>
      </c>
      <c r="I164" s="61">
        <f t="shared" si="66"/>
        <v>0.8080011552346571</v>
      </c>
      <c r="J164" s="61">
        <f t="shared" si="66"/>
        <v>0.83493452707581239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7.9872563176895298E-2</v>
      </c>
      <c r="H165" s="61">
        <f t="shared" si="67"/>
        <v>7.729602888086641E-2</v>
      </c>
      <c r="I165" s="61">
        <f t="shared" si="67"/>
        <v>7.729602888086641E-2</v>
      </c>
      <c r="J165" s="61">
        <f t="shared" si="67"/>
        <v>7.9872563176895298E-2</v>
      </c>
      <c r="K165" s="61">
        <f t="shared" si="67"/>
        <v>7.9872563176895298E-2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0.6262008953068593</v>
      </c>
      <c r="E172" s="61">
        <f t="shared" si="74"/>
        <v>2.3858472389891698</v>
      </c>
      <c r="F172" s="61">
        <f t="shared" si="74"/>
        <v>2.8289530667870046</v>
      </c>
      <c r="G172" s="61">
        <f t="shared" si="74"/>
        <v>2.9145580223826717</v>
      </c>
      <c r="H172" s="61">
        <f t="shared" si="74"/>
        <v>2.826087498194946</v>
      </c>
      <c r="I172" s="61">
        <f t="shared" si="74"/>
        <v>4.6373554332129965</v>
      </c>
      <c r="J172" s="61">
        <f t="shared" si="74"/>
        <v>7.1387229747292427</v>
      </c>
      <c r="K172" s="61">
        <f t="shared" si="74"/>
        <v>7.1749154859205788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50.326105663537909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0.6262008953068593</v>
      </c>
      <c r="E215" s="61">
        <f t="shared" si="107"/>
        <v>2.3858472389891698</v>
      </c>
      <c r="F215" s="61">
        <f t="shared" si="107"/>
        <v>2.8289530667870046</v>
      </c>
      <c r="G215" s="61">
        <f t="shared" si="107"/>
        <v>2.9145580223826717</v>
      </c>
      <c r="H215" s="61">
        <f t="shared" si="107"/>
        <v>2.826087498194946</v>
      </c>
      <c r="I215" s="61">
        <f t="shared" si="107"/>
        <v>4.6373554332129965</v>
      </c>
      <c r="J215" s="61">
        <f t="shared" si="107"/>
        <v>7.1387229747292427</v>
      </c>
      <c r="K215" s="61">
        <f t="shared" si="107"/>
        <v>7.1749154859205788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84.911847786281584</v>
      </c>
      <c r="AB219" t="s">
        <v>221</v>
      </c>
    </row>
    <row r="220" spans="1:28" x14ac:dyDescent="0.25">
      <c r="AA220" s="30">
        <f>SUM(B215:Y217)</f>
        <v>50.326105663537909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28.463744520976832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110.53131699379061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0.6262008953068593</v>
      </c>
      <c r="J5" s="142">
        <f>CdTrp1!E215+CdTrp2!E215+CdTrp3!E215+CdTrp4!E215</f>
        <v>2.3858472389891698</v>
      </c>
      <c r="K5" s="142">
        <f>CdTrp1!F215+CdTrp2!F215+CdTrp3!F215+CdTrp4!F215</f>
        <v>2.8289530667870046</v>
      </c>
      <c r="L5" s="142">
        <f>CdTrp1!G215+CdTrp2!G215+CdTrp3!G215+CdTrp4!G215</f>
        <v>2.9145580223826717</v>
      </c>
      <c r="M5" s="142">
        <f>CdTrp1!H215+CdTrp2!H215+CdTrp3!H215+CdTrp4!H215</f>
        <v>2.826087498194946</v>
      </c>
      <c r="N5" s="142">
        <f>CdTrp1!I215+CdTrp2!I215+CdTrp3!I215+CdTrp4!I215</f>
        <v>4.6373554332129965</v>
      </c>
      <c r="O5" s="142">
        <f>CdTrp1!J215+CdTrp2!J215+CdTrp3!J215+CdTrp4!J215</f>
        <v>7.1387229747292427</v>
      </c>
      <c r="P5" s="142">
        <f>CdTrp1!K215+CdTrp2!K215+CdTrp3!K215+CdTrp4!K215</f>
        <v>7.1749154859205788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84.911847786281584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110.6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0.6262008953068593</v>
      </c>
      <c r="J8" s="142">
        <f t="shared" si="0"/>
        <v>2.3858472389891698</v>
      </c>
      <c r="K8" s="142">
        <f t="shared" si="0"/>
        <v>2.8289530667870046</v>
      </c>
      <c r="L8" s="142">
        <f t="shared" si="0"/>
        <v>2.9145580223826717</v>
      </c>
      <c r="M8" s="142">
        <f t="shared" si="0"/>
        <v>2.826087498194946</v>
      </c>
      <c r="N8" s="142">
        <f t="shared" si="0"/>
        <v>4.6373554332129965</v>
      </c>
      <c r="O8" s="142">
        <f t="shared" si="0"/>
        <v>7.1387229747292427</v>
      </c>
      <c r="P8" s="142">
        <f t="shared" si="0"/>
        <v>7.1749154859205788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50.326105663537909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Q9" sqref="Q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0.6262008953068593</v>
      </c>
      <c r="AV5" s="13">
        <f>'Conduite Trp'!J8</f>
        <v>2.3858472389891698</v>
      </c>
      <c r="AW5" s="13">
        <f>'Conduite Trp'!K8</f>
        <v>2.8289530667870046</v>
      </c>
      <c r="AX5" s="13">
        <f>'Conduite Trp'!L8</f>
        <v>2.9145580223826717</v>
      </c>
      <c r="AY5" s="13">
        <f>'Conduite Trp'!M8</f>
        <v>2.826087498194946</v>
      </c>
      <c r="AZ5" s="13">
        <f>'Conduite Trp'!N8</f>
        <v>4.6373554332129965</v>
      </c>
      <c r="BA5" s="13">
        <f>'Conduite Trp'!O8</f>
        <v>7.1387229747292427</v>
      </c>
      <c r="BB5" s="13">
        <f>'Conduite Trp'!P8</f>
        <v>7.1749154859205788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4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3.2</v>
      </c>
      <c r="AH7" s="61">
        <f t="shared" ref="AH7:AH26" si="3">$R7*Y7</f>
        <v>0</v>
      </c>
      <c r="AI7" s="61">
        <f t="shared" ref="AI7:AI26" si="4">$R7*Z7</f>
        <v>4</v>
      </c>
      <c r="AJ7" s="61">
        <f t="shared" ref="AJ7:AJ26" si="5">$R7*AA7</f>
        <v>0</v>
      </c>
      <c r="AK7" s="140"/>
      <c r="AL7" s="61">
        <f t="shared" ref="AL7:AL26" si="6">R7*AC7</f>
        <v>20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2.826087498194946</v>
      </c>
      <c r="AZ7" s="61">
        <f t="shared" si="7"/>
        <v>4.6373554332129965</v>
      </c>
      <c r="BA7" s="61">
        <f t="shared" si="7"/>
        <v>7.1387229747292427</v>
      </c>
      <c r="BB7" s="61">
        <f t="shared" si="7"/>
        <v>7.1749154859205788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26.160424236823108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28.463744520976832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28.463744520976832</v>
      </c>
      <c r="G9" s="81"/>
      <c r="H9" s="61">
        <f>SUM(L34:L43)</f>
        <v>3.9000000000000004</v>
      </c>
      <c r="I9" s="81"/>
      <c r="J9" s="81"/>
      <c r="K9" s="93">
        <f>H9-F9</f>
        <v>-24.563744520976833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4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10</v>
      </c>
      <c r="AF10" s="61">
        <f t="shared" si="1"/>
        <v>0</v>
      </c>
      <c r="AG10" s="61">
        <f t="shared" si="2"/>
        <v>5</v>
      </c>
      <c r="AH10" s="61">
        <f t="shared" si="3"/>
        <v>0.4</v>
      </c>
      <c r="AI10" s="61">
        <f t="shared" si="4"/>
        <v>1</v>
      </c>
      <c r="AJ10" s="61">
        <f t="shared" si="5"/>
        <v>0</v>
      </c>
      <c r="AK10" s="140"/>
      <c r="AL10" s="61">
        <f t="shared" si="6"/>
        <v>14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0.6262008953068593</v>
      </c>
      <c r="AV10" s="61">
        <f t="shared" si="11"/>
        <v>2.3858472389891698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3.012048134296029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2.8289530667870046</v>
      </c>
      <c r="AX11" s="61">
        <f t="shared" si="12"/>
        <v>2.9145580223826717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5.7435110891696759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0.6262008953068593</v>
      </c>
      <c r="AV15" s="13">
        <f>'Conduite Trp'!J5</f>
        <v>2.3858472389891698</v>
      </c>
      <c r="AW15" s="13">
        <f>'Conduite Trp'!K5</f>
        <v>2.8289530667870046</v>
      </c>
      <c r="AX15" s="13">
        <f>'Conduite Trp'!L5</f>
        <v>2.9145580223826717</v>
      </c>
      <c r="AY15" s="13">
        <f>'Conduite Trp'!M5</f>
        <v>2.826087498194946</v>
      </c>
      <c r="AZ15" s="13">
        <f>'Conduite Trp'!N5</f>
        <v>4.6373554332129965</v>
      </c>
      <c r="BA15" s="13">
        <f>'Conduite Trp'!O5</f>
        <v>7.1387229747292427</v>
      </c>
      <c r="BB15" s="13">
        <f>'Conduite Trp'!P5</f>
        <v>7.1749154859205788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2.826087498194946</v>
      </c>
      <c r="AZ19" s="61">
        <f t="shared" si="15"/>
        <v>4.6373554332129965</v>
      </c>
      <c r="BA19" s="61">
        <f t="shared" si="15"/>
        <v>7.1387229747292427</v>
      </c>
      <c r="BB19" s="61">
        <f t="shared" si="15"/>
        <v>7.1749154859205788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26.160424236823108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0.6262008953068593</v>
      </c>
      <c r="AV22" s="61">
        <f t="shared" si="19"/>
        <v>2.3858472389891698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3.012048134296029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2.8289530667870046</v>
      </c>
      <c r="AX23" s="61">
        <f t="shared" si="20"/>
        <v>2.9145580223826717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5.7435110891696759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27</v>
      </c>
      <c r="E24" s="61">
        <f t="shared" si="21"/>
        <v>2.25</v>
      </c>
      <c r="F24" s="61">
        <f t="shared" si="21"/>
        <v>17.45</v>
      </c>
      <c r="G24" s="61">
        <f t="shared" si="21"/>
        <v>2.15</v>
      </c>
      <c r="H24" s="61">
        <f t="shared" si="21"/>
        <v>10</v>
      </c>
      <c r="I24" s="61">
        <f t="shared" si="21"/>
        <v>0</v>
      </c>
      <c r="J24" s="63"/>
      <c r="K24" s="61">
        <f>AL27+AL49+AL71</f>
        <v>77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26.160424236823108</v>
      </c>
      <c r="E25" s="61">
        <f>BR8</f>
        <v>1.4377061371841158</v>
      </c>
      <c r="F25" s="61">
        <f>BR9</f>
        <v>13.972416066064982</v>
      </c>
      <c r="G25" s="61">
        <f>BR10</f>
        <v>3.012048134296029</v>
      </c>
      <c r="H25" s="61">
        <f>BR11</f>
        <v>5.7435110891696759</v>
      </c>
      <c r="I25" s="61">
        <f>BR12</f>
        <v>0</v>
      </c>
      <c r="J25" s="63"/>
      <c r="K25" s="76">
        <f>'Conduite Trp'!C7</f>
        <v>110.6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0.83957576317689231</v>
      </c>
      <c r="E27" s="93">
        <f t="shared" si="23"/>
        <v>0.81229386281588423</v>
      </c>
      <c r="F27" s="93">
        <f t="shared" si="23"/>
        <v>3.4775839339350174</v>
      </c>
      <c r="G27" s="93">
        <f t="shared" si="23"/>
        <v>-0.86204813429602911</v>
      </c>
      <c r="H27" s="93">
        <f t="shared" si="23"/>
        <v>4.2564889108303241</v>
      </c>
      <c r="I27" s="93">
        <f t="shared" si="23"/>
        <v>0</v>
      </c>
      <c r="J27" s="63"/>
      <c r="K27" s="93">
        <f>K24-K25</f>
        <v>-33.599999999999994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27</v>
      </c>
      <c r="AF27" s="75">
        <f t="shared" ref="AF27:AJ27" si="24">SUM(AF7:AF26)</f>
        <v>2.25</v>
      </c>
      <c r="AG27" s="75">
        <f t="shared" si="24"/>
        <v>17.45</v>
      </c>
      <c r="AH27" s="75">
        <f t="shared" si="24"/>
        <v>2.15</v>
      </c>
      <c r="AI27" s="75">
        <f t="shared" si="24"/>
        <v>10</v>
      </c>
      <c r="AJ27" s="75">
        <f t="shared" si="24"/>
        <v>0</v>
      </c>
      <c r="AK27"/>
      <c r="AL27" s="75">
        <f>SUM(AL7:AL26)</f>
        <v>52.5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27</v>
      </c>
      <c r="E72" s="61">
        <f t="shared" ref="E72:H72" si="69">AF27</f>
        <v>2.25</v>
      </c>
      <c r="F72" s="61">
        <f t="shared" si="69"/>
        <v>17.45</v>
      </c>
      <c r="G72" s="61">
        <f t="shared" si="69"/>
        <v>2.15</v>
      </c>
      <c r="H72" s="61">
        <f t="shared" si="69"/>
        <v>10</v>
      </c>
      <c r="I72" s="61">
        <f t="shared" ref="I72" si="70">AJ75+AJ97+AJ119</f>
        <v>0</v>
      </c>
      <c r="J72" s="63"/>
      <c r="K72" s="61">
        <f>+K24</f>
        <v>77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26.160424236823108</v>
      </c>
      <c r="E73" s="61">
        <f>BR20</f>
        <v>1.4377061371841158</v>
      </c>
      <c r="F73" s="61">
        <f>BR21</f>
        <v>13.972416066064982</v>
      </c>
      <c r="G73" s="61">
        <f>BR22</f>
        <v>3.012048134296029</v>
      </c>
      <c r="H73" s="61">
        <f>BR23</f>
        <v>5.7435110891696759</v>
      </c>
      <c r="I73" s="61">
        <f>BR60</f>
        <v>0</v>
      </c>
      <c r="J73" s="63"/>
      <c r="K73" s="76">
        <f>+K25</f>
        <v>110.6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0.83957576317689231</v>
      </c>
      <c r="E75" s="93">
        <f t="shared" ref="E75:I75" si="71">E72-E73</f>
        <v>0.81229386281588423</v>
      </c>
      <c r="F75" s="93">
        <f t="shared" si="71"/>
        <v>3.4775839339350174</v>
      </c>
      <c r="G75" s="93">
        <f t="shared" si="71"/>
        <v>-0.86204813429602911</v>
      </c>
      <c r="H75" s="93">
        <f t="shared" si="71"/>
        <v>4.2564889108303241</v>
      </c>
      <c r="I75" s="93">
        <f t="shared" si="71"/>
        <v>0</v>
      </c>
      <c r="J75" s="63"/>
      <c r="K75" s="93">
        <f>+K27</f>
        <v>-33.599999999999994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2023-01-16T18:32:41Z</dcterms:modified>
</cp:coreProperties>
</file>