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firstSheet="2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51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L9" i="30"/>
  <c r="K9" i="30"/>
  <c r="J9" i="30"/>
  <c r="I9" i="30"/>
  <c r="H9" i="30"/>
  <c r="D9" i="30"/>
  <c r="C9" i="30"/>
  <c r="X8" i="30"/>
  <c r="W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O72" i="32" s="1"/>
  <c r="BN50" i="32"/>
  <c r="BM50" i="32"/>
  <c r="BM72" i="32" s="1"/>
  <c r="BL50" i="32"/>
  <c r="BK50" i="32"/>
  <c r="BJ50" i="32"/>
  <c r="BI50" i="32"/>
  <c r="BI72" i="32" s="1"/>
  <c r="BH50" i="32"/>
  <c r="BH61" i="32" s="1"/>
  <c r="BH72" i="32" s="1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U4" i="30" s="1"/>
  <c r="T83" i="30"/>
  <c r="S83" i="30"/>
  <c r="R83" i="30"/>
  <c r="Q83" i="30"/>
  <c r="Q20" i="30" s="1"/>
  <c r="P83" i="30"/>
  <c r="O83" i="30"/>
  <c r="N83" i="30"/>
  <c r="N20" i="30" s="1"/>
  <c r="M83" i="30"/>
  <c r="M4" i="30" s="1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40" i="32"/>
  <c r="T273" i="32" s="1"/>
  <c r="T236" i="32"/>
  <c r="C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N72" i="32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H111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V9" i="30" s="1"/>
  <c r="T5" i="30"/>
  <c r="T9" i="30" s="1"/>
  <c r="Q5" i="30"/>
  <c r="Q9" i="30" s="1"/>
  <c r="P5" i="30"/>
  <c r="P9" i="30" s="1"/>
  <c r="O5" i="30"/>
  <c r="O9" i="30" s="1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V2" i="30" s="1"/>
  <c r="T4" i="30"/>
  <c r="P4" i="30"/>
  <c r="O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T3" i="30"/>
  <c r="P3" i="30"/>
  <c r="O3" i="30"/>
  <c r="M3" i="30"/>
  <c r="L3" i="30"/>
  <c r="K3" i="30"/>
  <c r="J3" i="30"/>
  <c r="I3" i="30"/>
  <c r="H3" i="30"/>
  <c r="H201" i="30" s="1"/>
  <c r="E3" i="30"/>
  <c r="D3" i="30"/>
  <c r="C3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188" i="33" l="1"/>
  <c r="D23" i="33"/>
  <c r="F16" i="31"/>
  <c r="N5" i="30"/>
  <c r="N9" i="30" s="1"/>
  <c r="N3" i="30"/>
  <c r="N4" i="30"/>
  <c r="BJ72" i="32"/>
  <c r="U3" i="30"/>
  <c r="U5" i="30"/>
  <c r="U9" i="30" s="1"/>
  <c r="T2" i="30"/>
  <c r="V8" i="30"/>
  <c r="V201" i="30" s="1"/>
  <c r="V212" i="30" s="1"/>
  <c r="O8" i="30"/>
  <c r="O201" i="30" s="1"/>
  <c r="O212" i="30" s="1"/>
  <c r="P8" i="30"/>
  <c r="P201" i="30" s="1"/>
  <c r="P212" i="30" s="1"/>
  <c r="U2" i="30"/>
  <c r="U8" i="30"/>
  <c r="T8" i="30"/>
  <c r="T201" i="30" s="1"/>
  <c r="T212" i="30" s="1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Z164" i="29"/>
  <c r="AC164" i="29" s="1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AB170" i="32" s="1"/>
  <c r="X170" i="32"/>
  <c r="AA170" i="32" s="1"/>
  <c r="T169" i="29"/>
  <c r="Z169" i="29"/>
  <c r="AC169" i="29" s="1"/>
  <c r="X169" i="29"/>
  <c r="AA169" i="29" s="1"/>
  <c r="Y169" i="29"/>
  <c r="AB169" i="29" s="1"/>
  <c r="X169" i="32"/>
  <c r="AA169" i="32" s="1"/>
  <c r="Y169" i="32"/>
  <c r="AB169" i="32" s="1"/>
  <c r="T169" i="32"/>
  <c r="Z169" i="32"/>
  <c r="AC169" i="32" s="1"/>
  <c r="BZ29" i="31"/>
  <c r="BZ93" i="31" s="1"/>
  <c r="CL89" i="33"/>
  <c r="T257" i="32"/>
  <c r="U257" i="32" s="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AA166" i="32" s="1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C186" i="33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A164" i="29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U199" i="32"/>
  <c r="J166" i="32"/>
  <c r="C234" i="33" s="1"/>
  <c r="AJ199" i="32"/>
  <c r="AA27" i="29"/>
  <c r="J201" i="30"/>
  <c r="J212" i="30" s="1"/>
  <c r="K201" i="30"/>
  <c r="K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Q4" i="30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8" i="30" s="1"/>
  <c r="S4" i="30"/>
  <c r="S5" i="30"/>
  <c r="S9" i="30" s="1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U166" i="29" l="1"/>
  <c r="V166" i="29"/>
  <c r="U201" i="30"/>
  <c r="U212" i="30" s="1"/>
  <c r="D38" i="33"/>
  <c r="D187" i="33"/>
  <c r="AJ218" i="33" s="1"/>
  <c r="D279" i="33"/>
  <c r="D234" i="33"/>
  <c r="D186" i="33"/>
  <c r="AJ217" i="33" s="1"/>
  <c r="AN217" i="33" s="1"/>
  <c r="D190" i="33"/>
  <c r="AK190" i="33" s="1"/>
  <c r="AO190" i="33" s="1"/>
  <c r="D251" i="33"/>
  <c r="AD170" i="32"/>
  <c r="N8" i="30"/>
  <c r="N201" i="30" s="1"/>
  <c r="N212" i="30" s="1"/>
  <c r="Q2" i="30"/>
  <c r="F201" i="30"/>
  <c r="F212" i="30" s="1"/>
  <c r="Q8" i="30"/>
  <c r="Q201" i="30" s="1"/>
  <c r="Q212" i="30" s="1"/>
  <c r="R8" i="30"/>
  <c r="R201" i="30" s="1"/>
  <c r="R212" i="30" s="1"/>
  <c r="AX61" i="31"/>
  <c r="AX107" i="31" s="1"/>
  <c r="AX117" i="31" s="1"/>
  <c r="I5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S2" i="30"/>
  <c r="S201" i="30"/>
  <c r="S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AK231" i="33" l="1"/>
  <c r="AO231" i="33" s="1"/>
  <c r="AR231" i="33" s="1"/>
  <c r="D41" i="33"/>
  <c r="M18" i="30"/>
  <c r="M180" i="30" s="1"/>
  <c r="M195" i="30" s="1"/>
  <c r="Q75" i="31" s="1"/>
  <c r="BD84" i="3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S231" i="33" l="1"/>
  <c r="AT231" i="33" s="1"/>
  <c r="AW231" i="33" s="1"/>
  <c r="AI228" i="29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W13" i="31"/>
  <c r="F11" i="31"/>
  <c r="B81" i="31" l="1"/>
  <c r="F81" i="31" s="1"/>
  <c r="B114" i="31" s="1"/>
  <c r="T245" i="32"/>
  <c r="F76" i="31"/>
  <c r="F75" i="31"/>
  <c r="F77" i="31"/>
  <c r="B129" i="31" s="1"/>
  <c r="F10" i="31"/>
  <c r="C249" i="33" s="1"/>
  <c r="F9" i="31"/>
  <c r="C248" i="33" s="1"/>
  <c r="X13" i="31"/>
  <c r="F13" i="31" s="1"/>
  <c r="C270" i="33"/>
  <c r="C289" i="33" s="1"/>
  <c r="B108" i="31"/>
  <c r="B123" i="31" s="1"/>
  <c r="V265" i="32"/>
  <c r="V264" i="32"/>
  <c r="V263" i="32" s="1"/>
  <c r="J46" i="32" s="1"/>
  <c r="C210" i="33" s="1"/>
  <c r="C250" i="33"/>
  <c r="B93" i="31"/>
  <c r="D93" i="31" s="1"/>
  <c r="B91" i="31" l="1"/>
  <c r="D91" i="31" s="1"/>
  <c r="B92" i="31"/>
  <c r="D92" i="31" s="1"/>
  <c r="C193" i="33"/>
  <c r="D193" i="33" s="1"/>
  <c r="C277" i="33"/>
  <c r="D277" i="33" s="1"/>
  <c r="C278" i="33"/>
  <c r="B113" i="31"/>
  <c r="B125" i="31" s="1"/>
  <c r="X245" i="32"/>
  <c r="C189" i="33"/>
  <c r="D189" i="33" s="1"/>
  <c r="AK189" i="33" s="1"/>
  <c r="AO189" i="33" s="1"/>
  <c r="AO192" i="33" s="1"/>
  <c r="B94" i="31" l="1"/>
  <c r="X248" i="32"/>
  <c r="J141" i="32"/>
  <c r="C219" i="33" s="1"/>
  <c r="D278" i="33"/>
  <c r="D291" i="33" s="1"/>
  <c r="C291" i="33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C82" i="33" s="1"/>
  <c r="D75" i="33" s="1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AB40" i="32" l="1"/>
  <c r="AD40" i="32" s="1"/>
  <c r="AE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B44" i="32"/>
  <c r="J44" i="32" s="1"/>
  <c r="C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8" i="33" l="1"/>
  <c r="D206" i="33"/>
  <c r="L209" i="33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11" i="33" l="1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7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7" i="33" s="1"/>
  <c r="CD143" i="33"/>
  <c r="DK146" i="33"/>
  <c r="DK147" i="33" s="1"/>
  <c r="BC145" i="33"/>
  <c r="BD178" i="33"/>
  <c r="BO178" i="33"/>
  <c r="BI146" i="33"/>
  <c r="BI147" i="33" s="1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8" i="33"/>
  <c r="BS143" i="33"/>
  <c r="BS145" i="33"/>
  <c r="BS142" i="33"/>
  <c r="BS144" i="33"/>
  <c r="CD178" i="33"/>
  <c r="AW17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I148" i="33" l="1"/>
  <c r="DR148" i="33"/>
  <c r="DR163" i="33" s="1"/>
  <c r="DS148" i="33"/>
  <c r="DW147" i="33"/>
  <c r="BJ147" i="33"/>
  <c r="BJ163" i="33" s="1"/>
  <c r="BG148" i="33"/>
  <c r="BG163" i="33" s="1"/>
  <c r="DE148" i="33"/>
  <c r="DE163" i="33" s="1"/>
  <c r="BL146" i="33"/>
  <c r="BL148" i="33" s="1"/>
  <c r="CG146" i="33"/>
  <c r="CG147" i="33" s="1"/>
  <c r="BC146" i="33"/>
  <c r="BC148" i="33" s="1"/>
  <c r="DG163" i="33"/>
  <c r="DK148" i="33"/>
  <c r="DK163" i="33" s="1"/>
  <c r="DW163" i="33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Q163" i="33" s="1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C284" i="33" l="1"/>
  <c r="J31" i="7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C183" i="33" l="1"/>
  <c r="T234" i="32"/>
  <c r="B83" i="31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F84" i="31" l="1"/>
  <c r="F83" i="31"/>
  <c r="T272" i="32"/>
  <c r="X272" i="32" s="1"/>
  <c r="J142" i="32" s="1"/>
  <c r="C220" i="33" s="1"/>
  <c r="X234" i="32"/>
  <c r="C185" i="33"/>
  <c r="D185" i="33" s="1"/>
  <c r="D183" i="33" s="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D276" i="33" s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X237" i="32"/>
  <c r="C307" i="33"/>
  <c r="B167" i="32"/>
  <c r="J167" i="32" s="1"/>
  <c r="C192" i="33"/>
  <c r="C276" i="33" s="1"/>
  <c r="B115" i="31"/>
  <c r="B126" i="31" s="1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B128" i="31" l="1"/>
  <c r="B130" i="31" s="1"/>
  <c r="D235" i="33"/>
  <c r="D236" i="33" s="1"/>
  <c r="C293" i="33"/>
  <c r="C290" i="33"/>
  <c r="C235" i="33"/>
  <c r="C236" i="33" s="1"/>
  <c r="J170" i="32"/>
  <c r="C292" i="33"/>
  <c r="Z237" i="32"/>
  <c r="AA237" i="32" s="1"/>
  <c r="C243" i="33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C294" i="33" l="1"/>
  <c r="D243" i="33"/>
  <c r="D294" i="33"/>
  <c r="AB237" i="32"/>
  <c r="AC237" i="32" s="1"/>
  <c r="AF237" i="32" s="1"/>
  <c r="B178" i="32" s="1"/>
  <c r="C240" i="33" s="1"/>
  <c r="C244" i="33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44" i="33" l="1"/>
  <c r="D212" i="33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211" i="33" l="1"/>
  <c r="C154" i="33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<sst xmlns="http://schemas.openxmlformats.org/spreadsheetml/2006/main" count="3045" uniqueCount="1475">
  <si>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</si>
  <si>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</si>
  <si>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</si>
  <si>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</si>
  <si>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</si>
  <si>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</si>
  <si>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</si>
  <si>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</si>
  <si>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</si>
  <si>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</si>
  <si>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</si>
  <si>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</si>
  <si>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</si>
  <si>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</si>
  <si>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</si>
  <si>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</si>
  <si>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</si>
  <si>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</si>
  <si>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</si>
  <si>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</si>
  <si>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</si>
  <si>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</si>
  <si>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</si>
  <si>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</si>
  <si>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</si>
  <si>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</si>
  <si>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</si>
  <si>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</si>
  <si>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</si>
  <si>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</si>
  <si>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</si>
  <si>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</si>
  <si>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</si>
  <si>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</si>
  <si>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</si>
  <si>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</si>
  <si>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</si>
  <si>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</si>
  <si>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</si>
  <si>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</si>
  <si>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</si>
  <si>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</si>
  <si>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</si>
  <si>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</si>
  <si>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</si>
  <si>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</si>
  <si>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</si>
  <si>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</si>
  <si>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</si>
  <si>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</si>
  <si>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</si>
  <si>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</si>
  <si>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</si>
  <si>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</si>
  <si>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</si>
  <si>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</si>
  <si>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</si>
  <si>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</si>
  <si>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</si>
  <si>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</si>
  <si>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</si>
  <si>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</si>
  <si>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</si>
  <si>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</si>
  <si>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</si>
  <si>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</si>
  <si>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</si>
  <si>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</si>
  <si>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</si>
  <si>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</si>
  <si>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</si>
  <si>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</si>
  <si>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</si>
  <si>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</si>
  <si>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</si>
  <si>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</si>
  <si>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</si>
  <si>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</si>
  <si>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</si>
  <si>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</si>
  <si>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</si>
  <si>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</si>
  <si>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</si>
  <si>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</si>
  <si>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</si>
  <si>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</si>
  <si>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</si>
  <si>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</si>
  <si>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</si>
  <si>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</si>
  <si>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</si>
  <si>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</si>
  <si>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</si>
  <si>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</si>
  <si>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</si>
  <si>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</si>
  <si>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</si>
  <si>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</si>
  <si>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</si>
  <si>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</si>
  <si>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</si>
  <si>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</si>
  <si>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</si>
  <si>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</si>
  <si>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</si>
  <si>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</si>
  <si>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</si>
  <si>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</si>
  <si>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</si>
  <si>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</si>
  <si>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</si>
  <si>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</si>
  <si>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</si>
  <si>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</si>
  <si>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</si>
  <si>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</si>
  <si>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</si>
  <si>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</si>
  <si>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</si>
  <si>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</si>
  <si>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</si>
  <si>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</si>
  <si>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</si>
  <si>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</si>
  <si>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</si>
  <si>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</si>
  <si>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</si>
  <si>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</si>
  <si>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</si>
  <si>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</si>
  <si>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</si>
  <si>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</si>
  <si>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</si>
  <si>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</si>
  <si>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</si>
  <si>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</si>
  <si>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</si>
  <si>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</si>
  <si>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</si>
  <si>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</si>
  <si>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</si>
  <si>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</si>
  <si>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</si>
  <si>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</si>
  <si>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</si>
  <si>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</si>
  <si>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</si>
  <si>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</si>
  <si>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</si>
  <si>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</si>
  <si>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</si>
  <si>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</si>
  <si>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</si>
  <si>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</si>
  <si>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</si>
  <si>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</si>
  <si>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</si>
  <si>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</si>
  <si>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</si>
  <si>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</si>
  <si>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</si>
  <si>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</si>
  <si>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</si>
  <si>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</si>
  <si>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</si>
  <si>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</si>
  <si>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</si>
  <si>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</si>
  <si>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</si>
  <si>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</si>
  <si>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</si>
  <si>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</si>
  <si>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</si>
  <si>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</si>
  <si>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</si>
  <si>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</si>
  <si>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</si>
  <si>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</si>
  <si>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</si>
  <si>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</si>
  <si>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</si>
  <si>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</si>
  <si>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</si>
  <si>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</si>
  <si>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</si>
  <si>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</si>
  <si>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</si>
  <si>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</si>
  <si>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</si>
  <si>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</si>
  <si>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</si>
  <si>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</si>
  <si>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</si>
  <si>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</si>
  <si>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</si>
  <si>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</si>
  <si>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</si>
  <si>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</si>
  <si>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</si>
  <si>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</si>
  <si>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</si>
  <si>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</si>
  <si>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</si>
  <si>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</si>
  <si>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</si>
  <si>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</si>
  <si>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</si>
  <si>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</si>
  <si>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</si>
  <si>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</si>
  <si>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</si>
  <si>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</si>
  <si>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</si>
  <si>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</si>
  <si>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</si>
  <si>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</si>
  <si>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</si>
  <si>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</si>
  <si>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</si>
  <si>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</si>
  <si>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</si>
  <si>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</si>
  <si>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</si>
  <si>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</si>
  <si>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</si>
  <si>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</si>
  <si>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</si>
  <si>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</si>
  <si>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</si>
  <si>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</si>
  <si>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</si>
  <si>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</si>
  <si>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</si>
  <si>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</si>
  <si>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</si>
  <si>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</si>
  <si>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</si>
  <si>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</si>
  <si>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</si>
  <si>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</si>
  <si>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</si>
  <si>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</si>
  <si>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</si>
  <si>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</si>
  <si>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</si>
  <si>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</si>
  <si>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</si>
  <si>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</si>
  <si>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</si>
  <si>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</si>
  <si>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</si>
  <si>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</si>
  <si>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</si>
  <si>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</si>
  <si>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</si>
  <si>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</si>
  <si>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</si>
  <si>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</si>
  <si>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</si>
  <si>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</si>
  <si>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</si>
  <si>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</si>
  <si>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</si>
  <si>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</si>
  <si>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</si>
  <si>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</si>
  <si>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</si>
  <si>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</si>
  <si>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</si>
  <si>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</si>
  <si>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</si>
  <si>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</si>
  <si>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</si>
  <si>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</si>
  <si>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</si>
  <si>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</si>
  <si>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</si>
  <si>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</si>
  <si>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</si>
  <si>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</si>
  <si>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</si>
  <si>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</si>
  <si>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</si>
  <si>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</si>
  <si>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</si>
  <si>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</si>
  <si>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</si>
  <si>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</si>
  <si>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</si>
  <si>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</si>
  <si>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</si>
  <si>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</si>
  <si>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</si>
  <si>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</si>
  <si>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</si>
  <si>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</si>
  <si>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</si>
  <si>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</si>
  <si>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</si>
  <si>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</si>
  <si>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</si>
  <si>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</si>
  <si>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</si>
  <si>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</si>
  <si>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</si>
  <si>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</si>
  <si>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</si>
  <si>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</si>
  <si>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</si>
  <si>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</si>
  <si>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</si>
  <si>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</si>
  <si>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</si>
  <si>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</si>
  <si>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</si>
  <si>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</si>
  <si>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</si>
  <si>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</si>
  <si>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</si>
  <si>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</si>
  <si>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</si>
  <si>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</si>
  <si>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</si>
  <si>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</si>
  <si>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</si>
  <si>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</si>
  <si>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</si>
  <si>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</si>
  <si>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</si>
  <si>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</si>
  <si>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</si>
  <si>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</si>
  <si>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</si>
  <si>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</si>
  <si>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</si>
  <si>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</si>
  <si>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</si>
  <si>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</si>
  <si>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</si>
  <si>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</si>
  <si>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</si>
  <si>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</si>
  <si>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</si>
  <si>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</si>
  <si>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</si>
  <si>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</si>
  <si>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</si>
  <si>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</si>
  <si>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</si>
  <si>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</si>
  <si>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</si>
  <si>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</si>
  <si>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</si>
  <si>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</si>
  <si>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</si>
  <si>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</si>
  <si>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</si>
  <si>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</si>
  <si>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</si>
  <si>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</si>
  <si>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</si>
  <si>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</si>
  <si>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</si>
  <si>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</si>
  <si>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</si>
  <si>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</si>
  <si>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</si>
  <si>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</si>
  <si>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</si>
  <si>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</si>
  <si>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</si>
  <si>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</si>
  <si>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</si>
  <si>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</si>
  <si>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</si>
  <si>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</si>
  <si>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</si>
  <si>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</si>
  <si>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</si>
  <si>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</si>
  <si>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</si>
  <si>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</si>
  <si>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</si>
  <si>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</si>
  <si>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</si>
  <si>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</si>
  <si>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</si>
  <si>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</si>
  <si>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</si>
  <si>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</si>
  <si>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</si>
  <si>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</si>
  <si>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</si>
  <si>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</si>
  <si>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</si>
  <si>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</si>
  <si>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</si>
  <si>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</si>
  <si>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</si>
  <si>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</si>
  <si>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</si>
  <si>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</si>
  <si>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</si>
  <si>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</si>
  <si>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</si>
  <si>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</si>
  <si>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</si>
  <si>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</si>
  <si>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</si>
  <si>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</si>
  <si>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</si>
  <si>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</si>
  <si>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</si>
  <si>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</si>
  <si>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</si>
  <si>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</si>
  <si>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</si>
  <si>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</si>
  <si>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</si>
  <si>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</si>
  <si>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</si>
  <si>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</si>
  <si>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</si>
  <si>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</si>
  <si>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</si>
  <si>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</si>
  <si>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</si>
  <si>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</si>
  <si>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</si>
  <si>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</si>
  <si>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</si>
  <si>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</si>
  <si>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</si>
  <si>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</si>
  <si>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</si>
  <si>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</si>
  <si>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</si>
  <si>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</si>
  <si>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</si>
  <si>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</si>
  <si>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</si>
  <si>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</si>
  <si>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</si>
  <si>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</si>
  <si>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</si>
  <si>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</si>
  <si>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</si>
  <si>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</si>
  <si>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</si>
  <si>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</si>
  <si>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</si>
  <si>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</si>
  <si>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</si>
  <si>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</si>
  <si>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</si>
  <si>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</si>
  <si>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</si>
  <si>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</si>
  <si>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</si>
  <si>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</si>
  <si>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</si>
  <si>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</si>
  <si>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</si>
  <si>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</si>
  <si>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</si>
  <si>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</si>
  <si>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</si>
  <si>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</si>
  <si>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</si>
  <si>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</si>
  <si>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</si>
  <si>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</si>
  <si>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</si>
  <si>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</si>
  <si>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</si>
  <si>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</si>
  <si>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</si>
  <si>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</si>
  <si>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</si>
  <si>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</si>
  <si>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</si>
  <si>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</si>
  <si>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</si>
  <si>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</si>
  <si>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</si>
  <si>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</si>
  <si>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</si>
  <si>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</si>
  <si>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</si>
  <si>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</si>
  <si>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</si>
  <si>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</si>
  <si>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</si>
  <si>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</si>
  <si>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</si>
  <si>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</si>
  <si>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</si>
  <si>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</si>
  <si>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</si>
  <si>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</si>
  <si>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</si>
  <si>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</si>
  <si>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</si>
  <si>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</si>
  <si>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</si>
  <si>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</si>
  <si>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</si>
  <si>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</si>
  <si>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</si>
  <si>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</si>
  <si>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</si>
  <si>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</si>
  <si>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</si>
  <si>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</si>
  <si>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</si>
  <si>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</si>
  <si>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</si>
  <si>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</si>
  <si>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</si>
  <si>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</si>
  <si>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</si>
  <si>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</si>
  <si>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</si>
  <si>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</si>
  <si>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</si>
  <si>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</si>
  <si>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</si>
  <si>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</si>
  <si>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</si>
  <si>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</si>
  <si>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</si>
  <si>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</si>
  <si>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</si>
  <si>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</si>
  <si>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</si>
  <si>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</si>
  <si>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</si>
  <si>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</si>
  <si>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</si>
  <si>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</si>
  <si>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</si>
  <si>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</si>
  <si>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</si>
  <si>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</si>
  <si>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</si>
  <si>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</si>
  <si>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</si>
  <si>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</si>
  <si>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</si>
  <si>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</si>
  <si>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</si>
  <si>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</si>
  <si>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</si>
  <si>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</si>
  <si>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</si>
  <si>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</si>
  <si>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</si>
  <si>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</si>
  <si>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</si>
  <si>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</si>
  <si>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</si>
  <si>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</si>
  <si>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</si>
  <si>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</si>
  <si>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</si>
  <si>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</si>
  <si>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</si>
  <si>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</si>
  <si>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</si>
  <si>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</si>
  <si>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</si>
  <si>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</si>
  <si>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</si>
  <si>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</si>
  <si>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</si>
  <si>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</si>
  <si>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</si>
  <si>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</si>
  <si>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</si>
  <si>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</si>
  <si>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</si>
  <si>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</si>
  <si>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</si>
  <si>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</si>
  <si>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</si>
  <si>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</si>
  <si>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</si>
  <si>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</si>
  <si>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</si>
  <si>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</si>
  <si>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</si>
  <si>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</si>
  <si>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</si>
  <si>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</si>
  <si>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</si>
  <si>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</si>
  <si>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</si>
  <si>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</si>
  <si>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</si>
  <si>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</si>
  <si>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</si>
  <si>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</si>
  <si>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</si>
  <si>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</si>
  <si>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</si>
  <si>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</si>
  <si>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</si>
  <si>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</si>
  <si>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</si>
  <si>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</si>
  <si>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</si>
  <si>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</si>
  <si>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</si>
  <si>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</si>
  <si>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</si>
  <si>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</si>
  <si>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</si>
  <si>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</si>
  <si>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</si>
  <si>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</si>
  <si>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</si>
  <si>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</si>
  <si>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</si>
  <si>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</si>
  <si>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</si>
  <si>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</si>
  <si>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</si>
  <si>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</si>
  <si>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</si>
  <si>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</si>
  <si>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</si>
  <si>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</si>
  <si>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</si>
  <si>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</si>
  <si>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</si>
  <si>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</si>
  <si>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</si>
  <si>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</si>
  <si>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</si>
  <si>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</si>
  <si>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</si>
  <si>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</si>
  <si>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</si>
  <si>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</si>
  <si>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</si>
  <si>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</si>
  <si>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</si>
  <si>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</si>
  <si>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</si>
  <si>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</si>
  <si>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</si>
  <si>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</si>
  <si>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</si>
  <si>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</si>
  <si>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</si>
  <si>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</si>
  <si>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</si>
  <si>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</si>
  <si>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</si>
  <si>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</si>
  <si>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</si>
  <si>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</si>
  <si>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</si>
  <si>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</si>
  <si>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</si>
  <si>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</si>
  <si>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</si>
  <si>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</si>
  <si>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</si>
  <si>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</si>
  <si>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</si>
  <si>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</si>
  <si>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</si>
  <si>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</si>
  <si>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</si>
  <si>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</si>
  <si>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</si>
  <si>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</si>
  <si>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</si>
  <si>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</si>
  <si>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</si>
  <si>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</si>
  <si>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</si>
  <si>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</si>
  <si>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</si>
  <si>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</si>
  <si>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</si>
  <si>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</si>
  <si>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</si>
  <si>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</si>
  <si>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</si>
  <si>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</si>
  <si>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</si>
  <si>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</si>
  <si>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</si>
  <si>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</si>
  <si>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</si>
  <si>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</si>
  <si>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</si>
  <si>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</si>
  <si>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</si>
  <si>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</si>
  <si>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</si>
  <si>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</si>
  <si>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</si>
  <si>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</si>
  <si>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</si>
  <si>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</si>
  <si>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</si>
  <si>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</si>
  <si>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</si>
  <si>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</si>
  <si>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</si>
  <si>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</si>
  <si>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</si>
  <si>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</si>
  <si>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</si>
  <si>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</si>
  <si>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</si>
  <si>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</si>
  <si>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</si>
  <si>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</si>
  <si>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</si>
  <si>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</si>
  <si>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</si>
  <si>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</si>
  <si>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</si>
  <si>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</si>
  <si>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</si>
  <si>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</si>
  <si>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</si>
  <si>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</si>
  <si>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</si>
  <si>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</si>
  <si>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</si>
  <si>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</si>
  <si>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</si>
  <si>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</si>
  <si>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</si>
  <si>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</si>
  <si>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</si>
  <si>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</si>
  <si>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</si>
  <si>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</si>
  <si>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</si>
  <si>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</si>
  <si>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</si>
  <si>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</si>
  <si>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</si>
  <si>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</si>
  <si>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</si>
  <si>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</si>
  <si>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</si>
  <si>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</si>
  <si>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</si>
  <si>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</si>
  <si>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</si>
  <si>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</si>
  <si>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</si>
  <si>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</si>
  <si>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</si>
  <si>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</si>
  <si>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</si>
  <si>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</si>
  <si>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</si>
  <si>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</si>
  <si>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</si>
  <si>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</si>
  <si>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</si>
  <si>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</si>
  <si>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</si>
  <si>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</si>
  <si>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</si>
  <si>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</si>
  <si>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</si>
  <si>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</si>
  <si>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</si>
  <si>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</si>
  <si>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</si>
  <si>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</si>
  <si>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</si>
  <si>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</si>
  <si>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</si>
  <si>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</si>
  <si>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</si>
  <si>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</si>
  <si>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</si>
  <si>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</si>
  <si>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</si>
  <si>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</si>
  <si>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</si>
  <si>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</si>
  <si>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</si>
  <si>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</si>
  <si>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</si>
  <si>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</si>
  <si>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</si>
  <si>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</si>
  <si>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</si>
  <si>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</si>
  <si>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</si>
  <si>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</si>
  <si>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</si>
  <si>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</si>
  <si>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</si>
  <si>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</si>
  <si>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</si>
  <si>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</si>
  <si>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</si>
  <si>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</si>
  <si>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</si>
  <si>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</si>
  <si>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</si>
  <si>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</si>
  <si>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</si>
  <si>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</si>
  <si>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</si>
  <si>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</si>
  <si>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</si>
  <si>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</si>
  <si>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</si>
  <si>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</si>
  <si>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</si>
  <si>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</si>
  <si>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</si>
  <si>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</si>
  <si>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</si>
  <si>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</si>
  <si>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</si>
  <si>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</si>
  <si>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</si>
  <si>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</si>
  <si>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</si>
  <si>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</si>
  <si>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</si>
  <si>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</si>
  <si>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</si>
  <si>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</si>
  <si>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</si>
  <si>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</si>
  <si>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</si>
  <si>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</si>
  <si>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</si>
  <si>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</si>
  <si>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</si>
  <si>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</si>
  <si>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</si>
  <si>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</si>
  <si>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</si>
  <si>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</si>
  <si>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</si>
  <si>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</si>
  <si>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</si>
  <si>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</si>
  <si>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</si>
  <si>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</si>
  <si>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</si>
  <si>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</si>
  <si>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</si>
  <si>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</si>
  <si>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</si>
  <si>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</si>
  <si>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</si>
  <si>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</si>
  <si>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</si>
  <si>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</si>
  <si>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</si>
  <si>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</si>
  <si>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</si>
  <si>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</si>
  <si>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</si>
  <si>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</si>
  <si>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</si>
  <si>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</si>
  <si>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</si>
  <si>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</si>
  <si>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</si>
  <si>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</si>
  <si>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</si>
  <si>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</si>
  <si>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</si>
  <si>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</si>
  <si>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</si>
  <si>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</si>
  <si>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</si>
  <si>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</si>
  <si>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</si>
  <si>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</si>
  <si>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</si>
  <si>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</si>
  <si>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</si>
  <si>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</si>
  <si>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</si>
  <si>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</si>
  <si>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</si>
  <si>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</si>
  <si>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</si>
  <si>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</si>
  <si>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</si>
  <si>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</si>
  <si>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</si>
  <si>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</si>
  <si>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</si>
  <si>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</si>
  <si>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</si>
  <si>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</si>
  <si>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</si>
  <si>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</si>
  <si>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</si>
  <si>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</si>
  <si>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</si>
  <si>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</si>
  <si>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</si>
  <si>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</si>
  <si>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</si>
  <si>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</si>
  <si>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</si>
  <si>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</si>
  <si>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</si>
  <si>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</si>
  <si>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</si>
  <si>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</si>
  <si>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</si>
  <si>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</si>
  <si>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</si>
  <si>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</si>
  <si>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</si>
  <si>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</si>
  <si>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</si>
  <si>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</si>
  <si>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</si>
  <si>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</si>
  <si>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</si>
  <si>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</si>
  <si>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</si>
  <si>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</si>
  <si>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</si>
  <si>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</si>
  <si>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</si>
  <si>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</si>
  <si>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</si>
  <si>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</si>
  <si>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</si>
  <si>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</si>
  <si>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</si>
  <si>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</si>
  <si>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</si>
  <si>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</si>
  <si>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</si>
  <si>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</si>
  <si>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</si>
  <si>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</si>
  <si>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</si>
  <si>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</si>
  <si>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</si>
  <si>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</si>
  <si>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</si>
  <si>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</si>
  <si>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</si>
  <si>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</si>
  <si>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</si>
  <si>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</si>
  <si>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</si>
  <si>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</si>
  <si>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</si>
  <si>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</si>
  <si>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</si>
  <si>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</si>
  <si>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</si>
  <si>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</si>
  <si>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</si>
  <si>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</si>
  <si>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</si>
  <si>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</si>
  <si>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</si>
  <si>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</si>
  <si>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</si>
  <si>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</si>
  <si>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</si>
  <si>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</si>
  <si>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</si>
  <si>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</si>
  <si>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</si>
  <si>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</si>
  <si>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</si>
  <si>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</si>
  <si>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</si>
  <si>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</si>
  <si>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</si>
  <si>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</si>
  <si>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</si>
  <si>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</si>
  <si>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</si>
  <si>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</si>
  <si>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</si>
  <si>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</si>
  <si>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</si>
  <si>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</si>
  <si>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</si>
  <si>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</si>
  <si>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</si>
  <si>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</si>
  <si>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</si>
  <si>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</si>
  <si>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</si>
  <si>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</si>
  <si>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</si>
  <si>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</si>
  <si>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</si>
  <si>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</si>
  <si>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</si>
  <si>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</si>
  <si>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</si>
  <si>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</si>
  <si>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</si>
  <si>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</si>
  <si>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</si>
  <si>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</si>
  <si>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</si>
  <si>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</si>
  <si>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</si>
  <si>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</si>
  <si>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</si>
  <si>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</si>
  <si>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</si>
  <si>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</si>
  <si>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</si>
  <si>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</si>
  <si>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</si>
  <si>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</si>
  <si>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</si>
  <si>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</si>
  <si>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</si>
  <si>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</si>
  <si>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</si>
  <si>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</si>
  <si>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</si>
  <si>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</si>
  <si>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</si>
  <si>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</si>
  <si>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</si>
  <si>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</si>
  <si>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</si>
  <si>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</si>
  <si>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</si>
  <si>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</si>
  <si>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</si>
  <si>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</si>
  <si>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</si>
  <si>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</si>
  <si>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</si>
  <si>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</si>
  <si>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</si>
  <si>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</si>
  <si>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</si>
  <si>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</si>
  <si>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</si>
  <si>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</si>
  <si>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</si>
  <si>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</si>
  <si>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</si>
  <si>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</si>
  <si>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</si>
  <si>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</si>
  <si>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</si>
  <si>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</si>
  <si>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</si>
  <si>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</si>
  <si>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</si>
  <si>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</si>
  <si>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</si>
  <si>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</si>
  <si>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</si>
  <si>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</si>
  <si>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</si>
  <si>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</si>
  <si>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</si>
  <si>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</si>
  <si>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</si>
  <si>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</si>
  <si>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</si>
  <si>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</si>
  <si>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</si>
  <si>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</si>
  <si>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</si>
  <si>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</si>
  <si>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</si>
  <si>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</si>
  <si>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</si>
  <si>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</si>
  <si>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</si>
  <si>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</si>
  <si>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</si>
  <si>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</si>
  <si>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</si>
  <si>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</si>
  <si>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</si>
  <si>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</si>
  <si>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</si>
  <si>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</si>
  <si>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</si>
  <si>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</si>
  <si>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</si>
  <si>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</si>
  <si>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</si>
  <si>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</si>
  <si>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</si>
  <si>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</si>
  <si>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</si>
  <si>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</si>
  <si>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</si>
  <si>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</si>
  <si>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</si>
  <si>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</si>
  <si>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</si>
  <si>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</si>
  <si>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</si>
  <si>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</si>
  <si>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</si>
  <si>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</si>
  <si>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</si>
  <si>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</si>
  <si>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</si>
  <si>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</si>
  <si>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</si>
  <si>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</si>
  <si>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</si>
  <si>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</si>
  <si>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</si>
  <si>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</si>
  <si>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</si>
  <si>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</si>
  <si>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</si>
  <si>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</si>
  <si>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</si>
  <si>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</si>
  <si>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</si>
  <si>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</si>
  <si>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</si>
  <si>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</si>
  <si>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</si>
  <si>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</si>
  <si>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</si>
  <si>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</si>
  <si>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</si>
  <si>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</si>
  <si>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</si>
  <si>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</si>
  <si>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</si>
  <si>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</si>
  <si>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</si>
  <si>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</si>
  <si>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</si>
  <si>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</si>
  <si>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</si>
  <si>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</si>
  <si>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</si>
  <si>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</si>
  <si>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</si>
  <si>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</si>
  <si>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</si>
  <si>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</si>
  <si>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</si>
  <si>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</si>
  <si>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</si>
  <si>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</si>
  <si>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</si>
  <si>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</si>
  <si>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</si>
  <si>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</si>
  <si>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</si>
  <si>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</si>
  <si>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</si>
  <si>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</si>
  <si>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</si>
  <si>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</si>
  <si>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</si>
  <si>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</si>
  <si>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</si>
  <si>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</si>
  <si>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</si>
  <si>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</si>
  <si>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</si>
  <si>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</si>
  <si>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</si>
  <si>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</si>
  <si>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</si>
  <si>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</si>
  <si>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</si>
  <si>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</si>
  <si>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</si>
  <si>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</si>
  <si>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</si>
  <si>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</si>
  <si>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</si>
  <si>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</si>
  <si>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</si>
  <si>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</si>
  <si>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</si>
  <si>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</si>
  <si>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</si>
  <si>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</si>
  <si>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</si>
  <si>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</si>
  <si>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</si>
  <si>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</si>
  <si>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</si>
  <si>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</si>
  <si>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</si>
  <si>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</si>
  <si>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</si>
  <si>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</si>
  <si>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</si>
  <si>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</si>
  <si>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</si>
  <si>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</si>
  <si>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</si>
  <si>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</si>
  <si>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</si>
  <si>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</si>
  <si>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</si>
  <si>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</si>
  <si>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</si>
  <si>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</si>
  <si>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</si>
  <si>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</si>
  <si>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</si>
  <si>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</si>
  <si>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</si>
  <si>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</si>
  <si>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</si>
  <si>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</si>
  <si>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</si>
  <si>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</si>
  <si>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</si>
  <si>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</si>
  <si>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</si>
  <si>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</si>
  <si>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</si>
  <si>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</si>
  <si>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</si>
  <si>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</si>
  <si>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</si>
  <si>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</si>
  <si>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</si>
  <si>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</si>
  <si>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</si>
  <si>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</si>
  <si>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</si>
  <si>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</si>
  <si>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</si>
  <si>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</si>
  <si>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</si>
  <si>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</si>
  <si>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</si>
  <si>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</si>
  <si>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</si>
  <si>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</si>
  <si>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</si>
  <si>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</si>
  <si>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</si>
  <si>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</si>
  <si>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</si>
  <si>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</si>
  <si>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</si>
  <si>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</si>
  <si>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</si>
  <si>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</si>
  <si>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</si>
  <si>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</si>
  <si>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</si>
  <si>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</si>
  <si>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</si>
  <si>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</si>
  <si>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</si>
  <si>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</si>
  <si>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</si>
  <si>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</si>
  <si>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</si>
  <si>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</si>
  <si>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</si>
  <si>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</si>
  <si>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</si>
  <si>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</si>
  <si>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</si>
  <si>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</si>
  <si>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</si>
  <si>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</si>
  <si>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</si>
  <si>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</si>
  <si>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</si>
  <si>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</si>
  <si>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</si>
  <si>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</si>
  <si>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</si>
  <si>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</si>
  <si>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</si>
  <si>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</si>
  <si>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</si>
  <si>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</si>
  <si>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</si>
  <si>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</si>
  <si>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</si>
  <si>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</si>
  <si>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</si>
  <si>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</si>
  <si>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</si>
  <si>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</si>
  <si>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</si>
  <si>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</si>
  <si>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</si>
  <si>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</si>
  <si>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</si>
  <si>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</si>
  <si>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</si>
  <si>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</si>
  <si>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</si>
  <si>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</si>
  <si>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</si>
  <si>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</si>
  <si>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</si>
  <si>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</si>
  <si>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</si>
  <si>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</si>
  <si>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</si>
  <si>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</si>
  <si>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</si>
  <si>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</si>
  <si>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</si>
  <si>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</si>
  <si>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</si>
  <si>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</si>
  <si>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</si>
  <si>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</si>
  <si>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</si>
  <si>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</si>
  <si>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</si>
  <si>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</si>
  <si>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</si>
  <si>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</si>
  <si>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</si>
  <si>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</si>
  <si>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</si>
  <si>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</si>
  <si>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</si>
  <si>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</si>
  <si>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</si>
  <si>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</si>
  <si>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</si>
  <si>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</si>
  <si>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</si>
  <si>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</si>
  <si>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</si>
  <si>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</si>
  <si>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</si>
  <si>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</si>
  <si>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</si>
  <si>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</si>
  <si>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</si>
  <si>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</si>
  <si>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</si>
  <si>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</si>
  <si>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</si>
  <si>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</si>
  <si>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</si>
  <si>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</si>
  <si>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</si>
  <si>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</si>
  <si>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</si>
  <si>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</si>
  <si>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</si>
  <si>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</si>
  <si>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</si>
  <si>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</si>
  <si>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</si>
  <si>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</si>
  <si>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</si>
  <si>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</si>
  <si>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</si>
  <si>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</si>
  <si>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</si>
  <si>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</si>
  <si>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</si>
  <si>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</si>
  <si>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</si>
  <si>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</si>
  <si>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</si>
  <si>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</si>
  <si>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</si>
  <si>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</si>
  <si>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</si>
  <si>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</si>
  <si>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</si>
  <si>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</si>
  <si>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</si>
  <si>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</si>
  <si>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</si>
  <si>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</si>
  <si>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</si>
  <si>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</si>
  <si>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</si>
  <si>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</si>
  <si>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</si>
  <si>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</si>
  <si>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</si>
  <si>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</si>
  <si>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</si>
  <si>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</si>
  <si>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</si>
  <si>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</si>
  <si>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</si>
  <si>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</si>
  <si>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</si>
  <si>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</si>
  <si>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</si>
  <si>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</si>
  <si>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</si>
  <si>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</si>
  <si>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</si>
  <si>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</si>
  <si>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</si>
  <si>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</si>
  <si>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</si>
  <si>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</si>
  <si>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</si>
  <si>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</si>
  <si>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</si>
  <si>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</si>
  <si>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</si>
  <si>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</si>
  <si>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</si>
  <si>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</si>
  <si>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</si>
  <si>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</si>
  <si>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</si>
  <si>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</si>
  <si>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</si>
  <si>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</si>
  <si>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</si>
  <si>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</si>
  <si>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</si>
  <si>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</si>
  <si>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</si>
  <si>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</si>
  <si>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</si>
  <si>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</si>
  <si>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</si>
  <si>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</si>
  <si>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</si>
  <si>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</si>
  <si>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</si>
  <si>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</si>
  <si>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</si>
  <si>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</si>
  <si>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</si>
  <si>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</si>
  <si>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</si>
  <si>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</si>
  <si>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</si>
  <si>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</si>
  <si>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</si>
  <si>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</si>
  <si>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</si>
  <si>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</si>
  <si>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</si>
  <si>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</si>
  <si>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</si>
  <si>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</si>
  <si>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</si>
  <si>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</si>
  <si>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</si>
  <si>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</si>
  <si>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</si>
  <si>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</si>
  <si>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Z2_OL_T1_C2s1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</si>
</sst>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13" sqref="L13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3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2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2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1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>
        <v>1</v>
      </c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>
        <v>1</v>
      </c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>
        <v>2</v>
      </c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>
        <v>1</v>
      </c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S1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3370</v>
      </c>
      <c r="AE20" s="64">
        <v>0</v>
      </c>
      <c r="AF20" s="64">
        <f>SUM(AD20:AE20)</f>
        <v>3370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3370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3370</v>
      </c>
      <c r="AE22" s="64">
        <f>IF(AND(LEFT(Scénario!K12,2)="OL",Troupeau!C3&lt;&gt;"",Scénario!K91=1),Protection!AP5+Protection!AP3,0)</f>
        <v>0</v>
      </c>
      <c r="AF22" s="64">
        <f>SUM(AD22:AE22)</f>
        <v>3370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3370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14.5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2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1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3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224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221</v>
      </c>
      <c r="AY61" s="168">
        <f>IF(AY16=0,0,IF(AY38=3,0,VALUE(CONCATENATE(Travail!AY27,Travail!AY38,Travail!AY49))))</f>
        <v>221</v>
      </c>
      <c r="AZ61" s="168">
        <f>IF(AZ16=0,0,IF(AZ38=3,0,VALUE(CONCATENATE(Travail!AZ27,Travail!AZ38,Travail!AZ49))))</f>
        <v>221</v>
      </c>
      <c r="BA61" s="168">
        <f>IF(BA16=0,0,IF(BA38=3,0,VALUE(CONCATENATE(Travail!BA27,Travail!BA38,Travail!BA49))))</f>
        <v>221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221</v>
      </c>
      <c r="BB63" s="168">
        <f>IF(BB18=0,0,IF(BB40=3,0,VALUE(CONCATENATE(Travail!BB29,Travail!BB40,Travail!BB51))))</f>
        <v>221</v>
      </c>
      <c r="BC63" s="168">
        <f>IF(BC18=0,0,IF(BC40=3,0,VALUE(CONCATENATE(Travail!BC29,Travail!BC40,Travail!BC51))))</f>
        <v>221</v>
      </c>
      <c r="BD63" s="168">
        <f>IF(BD18=0,0,IF(BD40=3,0,VALUE(CONCATENATE(Travail!BD29,Travail!BD40,Travail!BD51))))</f>
        <v>221</v>
      </c>
      <c r="BE63" s="168">
        <f>IF(BE18=0,0,IF(BE40=3,0,VALUE(CONCATENATE(Travail!BE29,Travail!BE40,Travail!BE51))))</f>
        <v>221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205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22</v>
      </c>
      <c r="AY72" s="168">
        <f t="shared" si="36"/>
        <v>22</v>
      </c>
      <c r="AZ72" s="168">
        <f t="shared" si="36"/>
        <v>22</v>
      </c>
      <c r="BA72" s="168">
        <f t="shared" si="36"/>
        <v>22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22</v>
      </c>
      <c r="BB74" s="168">
        <f t="shared" si="36"/>
        <v>22</v>
      </c>
      <c r="BC74" s="168">
        <f t="shared" si="36"/>
        <v>22</v>
      </c>
      <c r="BD74" s="168">
        <f t="shared" si="36"/>
        <v>22</v>
      </c>
      <c r="BE74" s="168">
        <f t="shared" si="36"/>
        <v>22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70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42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317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13.5</v>
      </c>
      <c r="J77" s="46">
        <f t="shared" si="43"/>
        <v>18.5</v>
      </c>
      <c r="K77" s="46">
        <f t="shared" si="43"/>
        <v>18.5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18.5</v>
      </c>
      <c r="Q77" s="46">
        <f t="shared" si="43"/>
        <v>13.5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15.5</v>
      </c>
      <c r="W77" s="46">
        <f t="shared" si="43"/>
        <v>15.5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1.43</v>
      </c>
      <c r="C81" s="183">
        <f>[1]Protect!$B$10</f>
        <v>4</v>
      </c>
      <c r="D81" s="167"/>
      <c r="E81" s="167"/>
      <c r="F81" s="168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2</v>
      </c>
      <c r="AY81" s="168">
        <f t="shared" si="44"/>
        <v>1</v>
      </c>
      <c r="AZ81" s="168">
        <f t="shared" si="44"/>
        <v>1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2</v>
      </c>
      <c r="BQ81" s="168">
        <f t="shared" si="44"/>
        <v>2</v>
      </c>
      <c r="BR81" s="168">
        <f t="shared" si="44"/>
        <v>3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3.37</v>
      </c>
      <c r="C83" s="183">
        <f>[1]Protect!$B$24+[1]Protect!$B$26</f>
        <v>0.33</v>
      </c>
      <c r="D83" s="167"/>
      <c r="E83" s="167"/>
      <c r="F83" s="16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2</v>
      </c>
      <c r="AY83" s="168">
        <f t="shared" si="50"/>
        <v>3</v>
      </c>
      <c r="AZ83" s="168">
        <f t="shared" si="50"/>
        <v>3</v>
      </c>
      <c r="BA83" s="168">
        <f t="shared" si="50"/>
        <v>4</v>
      </c>
      <c r="BB83" s="168">
        <f t="shared" si="50"/>
        <v>4</v>
      </c>
      <c r="BC83" s="168">
        <f t="shared" si="50"/>
        <v>4</v>
      </c>
      <c r="BD83" s="168">
        <f t="shared" si="50"/>
        <v>4</v>
      </c>
      <c r="BE83" s="168">
        <f t="shared" si="50"/>
        <v>3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2</v>
      </c>
      <c r="C86" s="171"/>
      <c r="D86" s="171"/>
      <c r="E86" s="171"/>
      <c r="F86" s="168">
        <f>B86*[1]Eco!$B$108*[1]Eco!$B$109</f>
        <v>480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224</v>
      </c>
      <c r="C95" s="5"/>
      <c r="D95" s="197">
        <f>B95/Troupeau!$B$17</f>
        <v>0.91803278688524592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224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205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205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42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46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3.8000000000000003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480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3893.4048736462091</v>
      </c>
      <c r="D118" s="197">
        <f>B118/Troupeau!$B$17</f>
        <v>15.956577351009054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3893.4048736462091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247</v>
      </c>
    </row>
    <row r="126" spans="1:132" x14ac:dyDescent="0.25">
      <c r="A126" s="2" t="s">
        <v>907</v>
      </c>
      <c r="B126" s="30">
        <f>B114+B115+B116</f>
        <v>529.79999999999995</v>
      </c>
    </row>
    <row r="128" spans="1:132" x14ac:dyDescent="0.25">
      <c r="A128" s="2" t="s">
        <v>908</v>
      </c>
      <c r="B128" s="196">
        <f>SUM(B122:B126)</f>
        <v>5480.2048736462093</v>
      </c>
    </row>
    <row r="129" spans="1:2" x14ac:dyDescent="0.25">
      <c r="A129" s="2" t="s">
        <v>909</v>
      </c>
      <c r="B129" s="30">
        <f>IF(Scénario!K129=1,Travail!F77+Travail!F86,F86)</f>
        <v>797</v>
      </c>
    </row>
    <row r="130" spans="1:2" x14ac:dyDescent="0.25">
      <c r="A130" s="2" t="s">
        <v>910</v>
      </c>
      <c r="B130" s="196">
        <f>ROUND((B128-B129)/(Scénario!K4+Scénario!K6),0)</f>
        <v>2342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11950.400000000001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121385.90399999998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9043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503.29999999999995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40008.064561678155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480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5102.4000000000005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324.8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3452.6240000000003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46238.724000000002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35139.115438321824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17570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951.80609022865383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28187.309348093171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14094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3370</v>
      </c>
      <c r="U234" t="s">
        <v>1139</v>
      </c>
      <c r="V234" s="168"/>
      <c r="W234" s="168">
        <f>[1]Protect!$B$4</f>
        <v>6</v>
      </c>
      <c r="X234" s="168">
        <f>T234*W234</f>
        <v>20220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0.66666666666666663</v>
      </c>
      <c r="W235" s="168">
        <f>[1]Protect!$B$83</f>
        <v>2000</v>
      </c>
      <c r="X235" s="168">
        <f t="shared" ref="X235:X236" si="87">T235*W235</f>
        <v>1333.3333333333333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0.33333333333333331</v>
      </c>
      <c r="W236" s="168">
        <f>[1]Protect!$B$84</f>
        <v>5000</v>
      </c>
      <c r="X236" s="168">
        <f t="shared" si="87"/>
        <v>1666.6666666666665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23220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7720</v>
      </c>
      <c r="AB237" s="30">
        <f>(Scénario!K127/100)*AA237</f>
        <v>0</v>
      </c>
      <c r="AC237" s="30">
        <f>AA237-AB237</f>
        <v>7720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951.80609022865383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10</v>
      </c>
      <c r="X245" s="168">
        <f>ROUND((([1]Protect!$B$5/[1]Protect!$B$11)+[1]Protect!$B$8)*T245,0)</f>
        <v>9043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2</v>
      </c>
      <c r="W246" s="168">
        <f>[1]Eco!$B$106*[1]Eco!$B$108*[1]Eco!$B$109</f>
        <v>2551.2000000000003</v>
      </c>
      <c r="X246" s="168">
        <f>T246*W246</f>
        <v>5102.4000000000005</v>
      </c>
    </row>
    <row r="247" spans="17:31" x14ac:dyDescent="0.25">
      <c r="S247" s="14" t="s">
        <v>1154</v>
      </c>
      <c r="T247" s="30">
        <f>Travail!F16/8</f>
        <v>28</v>
      </c>
      <c r="W247" s="168">
        <f>[1]Eco!$B$111</f>
        <v>28.3</v>
      </c>
      <c r="X247" s="168">
        <f>T247*W247</f>
        <v>792.4</v>
      </c>
    </row>
    <row r="248" spans="17:31" x14ac:dyDescent="0.25">
      <c r="W248" s="14" t="s">
        <v>1155</v>
      </c>
      <c r="X248" s="168">
        <f>SUM(X245:X247)</f>
        <v>14937.800000000001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14938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732.00000000000011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1</v>
      </c>
      <c r="U258" s="168">
        <f>IF(T258=0,0,[1]Protect!$B78)</f>
        <v>20000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11950.400000000001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11950.400000000001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10000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50.55</v>
      </c>
      <c r="U272" s="168"/>
      <c r="V272" s="168"/>
      <c r="W272" s="168">
        <f>W234</f>
        <v>6</v>
      </c>
      <c r="X272" s="168">
        <f>T272*W272</f>
        <v>303.29999999999995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1.3333333333333333</v>
      </c>
      <c r="U274" s="168"/>
      <c r="V274" s="168"/>
      <c r="W274" s="168">
        <f>W271</f>
        <v>100</v>
      </c>
      <c r="X274" s="168">
        <f>T274*W274</f>
        <v>133.33333333333331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0.33333333333333331</v>
      </c>
      <c r="U275" s="168"/>
      <c r="V275" s="168"/>
      <c r="W275" s="168">
        <f>[1]Protect!$B$42</f>
        <v>200</v>
      </c>
      <c r="X275" s="168">
        <f>T275*W275</f>
        <v>66.666666666666657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Z2_OL_T1_C2s1</v>
      </c>
      <c r="D1" s="252" t="str">
        <f>CONCATENATE(C1,"_corr")</f>
        <v>Z2_OL_T1_C2s1_corr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3</v>
      </c>
      <c r="D25" s="172">
        <f t="shared" si="0"/>
        <v>3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2</v>
      </c>
      <c r="D28" s="172">
        <f t="shared" si="0"/>
        <v>2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1</v>
      </c>
      <c r="D51" s="172">
        <f t="shared" si="0"/>
        <v>1</v>
      </c>
      <c r="E51" s="14"/>
    </row>
    <row r="52" spans="1:132" x14ac:dyDescent="0.25">
      <c r="B52" s="19" t="s">
        <v>603</v>
      </c>
      <c r="C52" s="172">
        <f>Scénario!K84</f>
        <v>2</v>
      </c>
      <c r="D52" s="172">
        <f t="shared" si="0"/>
        <v>2</v>
      </c>
      <c r="E52" s="14"/>
    </row>
    <row r="53" spans="1:132" x14ac:dyDescent="0.25">
      <c r="B53" s="14" t="s">
        <v>614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631</v>
      </c>
      <c r="C54" s="172">
        <f>Scénario!K89</f>
        <v>1</v>
      </c>
      <c r="D54" s="172">
        <f t="shared" si="0"/>
        <v>1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2</v>
      </c>
      <c r="D59" s="172">
        <f t="shared" si="0"/>
        <v>2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3370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14.5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232</v>
      </c>
      <c r="D185" s="168">
        <f>C185</f>
        <v>232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0.66666666666666663</v>
      </c>
      <c r="D187" s="168">
        <f>C187</f>
        <v>0.66666666666666663</v>
      </c>
    </row>
    <row r="188" spans="1:132" x14ac:dyDescent="0.25">
      <c r="B188" s="14" t="s">
        <v>1345</v>
      </c>
      <c r="C188" s="168">
        <f>'Calcul éco'!T236</f>
        <v>0.33333333333333331</v>
      </c>
      <c r="D188" s="168">
        <f t="shared" ref="D188:D189" si="101">C188</f>
        <v>0.33333333333333331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10</v>
      </c>
      <c r="D189" s="168">
        <f t="shared" si="101"/>
        <v>10</v>
      </c>
      <c r="AH189" s="15"/>
      <c r="AJ189" s="14" t="s">
        <v>1152</v>
      </c>
      <c r="AK189" s="30">
        <f>D189</f>
        <v>10</v>
      </c>
      <c r="AO189" s="168">
        <f>ROUND((([1]Protect!$B$5/[1]Protect!$B$11)+[1]Protect!$B$8)*AK189,0)</f>
        <v>9043</v>
      </c>
    </row>
    <row r="190" spans="1:132" x14ac:dyDescent="0.25">
      <c r="B190" s="14" t="s">
        <v>1347</v>
      </c>
      <c r="C190" s="168">
        <f>'Calcul éco'!T246*(30)</f>
        <v>60</v>
      </c>
      <c r="D190" s="168">
        <f>C190</f>
        <v>60</v>
      </c>
      <c r="AH190" s="15"/>
      <c r="AJ190" s="14" t="s">
        <v>1153</v>
      </c>
      <c r="AK190" s="30">
        <f>D190/30</f>
        <v>2</v>
      </c>
      <c r="AN190" s="168">
        <f>[1]Eco!$B$106*[1]Eco!$B$108*[1]Eco!$B$109</f>
        <v>2551.2000000000003</v>
      </c>
      <c r="AO190" s="168">
        <f>AK190*AN190</f>
        <v>5102.4000000000005</v>
      </c>
    </row>
    <row r="191" spans="1:132" x14ac:dyDescent="0.25">
      <c r="B191" s="14" t="s">
        <v>1348</v>
      </c>
      <c r="C191" s="193">
        <f>ROUND(SUM(Travail!F69:F74)/8,1)</f>
        <v>25.6</v>
      </c>
      <c r="D191" s="168">
        <f>C191</f>
        <v>25.6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28</v>
      </c>
      <c r="AN191" s="168">
        <f>[1]Eco!$B$111</f>
        <v>28.3</v>
      </c>
      <c r="AO191" s="168">
        <f>AK191*AN191</f>
        <v>792.4</v>
      </c>
    </row>
    <row r="192" spans="1:132" x14ac:dyDescent="0.25">
      <c r="B192" s="14" t="s">
        <v>1352</v>
      </c>
      <c r="C192" s="168">
        <f>(Travail!F83+Travail!F84)/8</f>
        <v>0.47500000000000003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14937.800000000001</v>
      </c>
    </row>
    <row r="193" spans="1:43" x14ac:dyDescent="0.25">
      <c r="B193" s="14" t="s">
        <v>1354</v>
      </c>
      <c r="C193" s="168">
        <f>(Travail!F75+Travail!F76+Travail!F81)/8</f>
        <v>19.75</v>
      </c>
      <c r="D193" s="168">
        <f>C193</f>
        <v>19.75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5000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7500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5000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11950</v>
      </c>
      <c r="D210" s="261">
        <f>ROUND(AL207,0)</f>
        <v>5000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47370.2</v>
      </c>
      <c r="D211" s="261">
        <f>ROUND(SUM(D201:D210),0)</f>
        <v>5000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1.3333333333333333</v>
      </c>
      <c r="AK218" s="168"/>
      <c r="AL218" s="168"/>
      <c r="AM218" s="168">
        <f>'Calcul éco'!W274</f>
        <v>100</v>
      </c>
      <c r="AN218" s="168">
        <f>AJ218*AM218</f>
        <v>133.33333333333331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9043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0.33333333333333331</v>
      </c>
      <c r="AK219" s="168"/>
      <c r="AL219" s="168"/>
      <c r="AM219" s="168">
        <f>'Calcul éco'!W275</f>
        <v>200</v>
      </c>
      <c r="AN219" s="168">
        <f>AJ219*AM219</f>
        <v>66.666666666666657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503.29999999999995</v>
      </c>
      <c r="D220" s="261">
        <f>SUM(AN215:AN219)</f>
        <v>199.99999999999997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40008</v>
      </c>
      <c r="D221" s="261">
        <f>ROUND(SUM(D216:D220),0)</f>
        <v>200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0.66666666666666663</v>
      </c>
      <c r="AN226" s="168">
        <f>[1]Protect!$B$83</f>
        <v>2000</v>
      </c>
      <c r="AO226" s="168">
        <f t="shared" ref="AO226:AO227" si="108">AK226*AN226</f>
        <v>1333.3333333333333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0.33333333333333331</v>
      </c>
      <c r="AN227" s="168">
        <f>[1]Protect!$B$84</f>
        <v>5000</v>
      </c>
      <c r="AO227" s="168">
        <f t="shared" si="108"/>
        <v>1666.6666666666665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3000</v>
      </c>
      <c r="AQ228" s="30">
        <f>IF(Scénario!K84=1,MIN(0.8*AO228,[1]Protect!$B$68),IF(Scénario!K84=2,MIN(0.8*AO228,[1]Protect!$B$67),0))</f>
        <v>2400</v>
      </c>
      <c r="AR228" s="30">
        <f>AO228-AQ228</f>
        <v>600</v>
      </c>
      <c r="AS228" s="30">
        <f>(1-Scénario!K127/100)*AR228</f>
        <v>600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5102.4000000000005</v>
      </c>
      <c r="D234" s="168">
        <f>C234</f>
        <v>5102.4000000000005</v>
      </c>
    </row>
    <row r="235" spans="1:49" x14ac:dyDescent="0.25">
      <c r="B235" s="14" t="s">
        <v>1398</v>
      </c>
      <c r="C235" s="168">
        <f>'Calcul éco'!J167</f>
        <v>3452.6240000000003</v>
      </c>
      <c r="D235" s="261">
        <f>(D191+D192)*8*[1]Eco!$B$106</f>
        <v>2177.0240000000003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46239</v>
      </c>
      <c r="D236" s="261">
        <f>ROUND(SUM(D222:D235),0)</f>
        <v>23166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35138.199999999997</v>
      </c>
      <c r="D237" s="261">
        <f>D194+D211-D221-D236</f>
        <v>-18366</v>
      </c>
    </row>
    <row r="238" spans="1:49" x14ac:dyDescent="0.25">
      <c r="B238" s="206" t="s">
        <v>1128</v>
      </c>
      <c r="C238" s="168">
        <f>ROUND(C237/Scénario!$K$4,0)</f>
        <v>17569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951.80609022865383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28186</v>
      </c>
      <c r="D241" s="265">
        <f>ROUND(D237-D239-D240,0)</f>
        <v>-24366</v>
      </c>
    </row>
    <row r="242" spans="1:15" x14ac:dyDescent="0.25">
      <c r="B242" s="206" t="s">
        <v>1132</v>
      </c>
      <c r="C242" s="168">
        <f>ROUND(C241/Scénario!K4,0)</f>
        <v>14093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23220</v>
      </c>
      <c r="D243" s="168">
        <f>C243</f>
        <v>23220</v>
      </c>
    </row>
    <row r="244" spans="1:15" x14ac:dyDescent="0.25">
      <c r="B244" s="206" t="s">
        <v>1403</v>
      </c>
      <c r="C244" s="168">
        <f>'Calcul éco'!AA237+'Calcul éco'!AA240</f>
        <v>7720</v>
      </c>
      <c r="D244" s="168">
        <f>C244</f>
        <v>7720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224</v>
      </c>
      <c r="D251" s="168">
        <f>C251</f>
        <v>224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204.8</v>
      </c>
      <c r="D275" s="168">
        <f>C275</f>
        <v>204.8</v>
      </c>
    </row>
    <row r="276" spans="1:4" x14ac:dyDescent="0.25">
      <c r="A276" s="23"/>
      <c r="B276" s="32" t="s">
        <v>1414</v>
      </c>
      <c r="C276" s="267">
        <f>C192*8</f>
        <v>3.8000000000000003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116</v>
      </c>
      <c r="D277" s="168">
        <f>C277</f>
        <v>116</v>
      </c>
    </row>
    <row r="278" spans="1:4" x14ac:dyDescent="0.25">
      <c r="B278" s="32" t="s">
        <v>1416</v>
      </c>
      <c r="C278" s="267">
        <f>Travail!F76</f>
        <v>42</v>
      </c>
      <c r="D278" s="168">
        <f>C278</f>
        <v>42</v>
      </c>
    </row>
    <row r="279" spans="1:4" x14ac:dyDescent="0.25">
      <c r="B279" s="32" t="s">
        <v>1417</v>
      </c>
      <c r="C279" s="267">
        <f>Travail!F86</f>
        <v>480</v>
      </c>
      <c r="D279" s="267">
        <f>C279</f>
        <v>480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3893</v>
      </c>
      <c r="D281" s="261">
        <f>ROUND(D245+D248+D251+D254+D257+D260+D261,0)</f>
        <v>1018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15.95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3893</v>
      </c>
      <c r="D287" s="261">
        <f>SUM(D281:D283)</f>
        <v>1018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324.60000000000002</v>
      </c>
      <c r="D290" s="268">
        <f>D275+D276+D277</f>
        <v>320.8</v>
      </c>
    </row>
    <row r="291" spans="2:4" x14ac:dyDescent="0.25">
      <c r="B291" s="14" t="s">
        <v>1430</v>
      </c>
      <c r="C291" s="267">
        <f>C278+C279+C280</f>
        <v>522</v>
      </c>
      <c r="D291" s="267">
        <f>D278+D279+D280</f>
        <v>522</v>
      </c>
    </row>
    <row r="292" spans="2:4" x14ac:dyDescent="0.25">
      <c r="B292" s="14" t="s">
        <v>908</v>
      </c>
      <c r="C292" s="168">
        <f>ROUND(SUM(C287:C291),0)</f>
        <v>5550</v>
      </c>
      <c r="D292" s="261">
        <f>ROUND(SUM(D287:D291),0)</f>
        <v>2461</v>
      </c>
    </row>
    <row r="293" spans="2:4" x14ac:dyDescent="0.25">
      <c r="B293" s="14" t="s">
        <v>909</v>
      </c>
      <c r="C293" s="168">
        <f>ROUND(IF(Scénario!$K$129=1,SUM(C275:C280),SUM(C278:C280)),0)</f>
        <v>847</v>
      </c>
      <c r="D293" s="168">
        <f>ROUND(IF(Scénario!$K$129=1,SUM(D275:D280),SUM(D278:D280)),0)</f>
        <v>843</v>
      </c>
    </row>
    <row r="294" spans="2:4" x14ac:dyDescent="0.25">
      <c r="B294" s="14" t="s">
        <v>910</v>
      </c>
      <c r="C294" s="168">
        <f>ROUND((C292-C293)/C83,0)</f>
        <v>2352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20220</v>
      </c>
    </row>
    <row r="308" spans="2:3" x14ac:dyDescent="0.25">
      <c r="B308" s="14" t="s">
        <v>1463</v>
      </c>
      <c r="C308" s="168">
        <f>'Calcul éco'!X235</f>
        <v>1333.3333333333333</v>
      </c>
    </row>
    <row r="309" spans="2:3" x14ac:dyDescent="0.25">
      <c r="B309" s="14" t="s">
        <v>1464</v>
      </c>
      <c r="C309" s="168">
        <f>'Calcul éco'!X236</f>
        <v>1666.6666666666665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0" activePane="bottomLeft" state="frozen"/>
      <selection pane="bottomLeft" activeCell="N81" sqref="N8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G20" zoomScale="90" zoomScaleNormal="90" workbookViewId="0">
      <selection activeCell="S29" sqref="S2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2023-01-09T10:12:44Z</dcterms:modified>
</cp:coreProperties>
</file>