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8160" windowHeight="4245" activeTab="3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153" r:id="rId19"/>
  </pivotCaches>
</workbook>
</file>

<file path=xl/calcChain.xml><?xml version="1.0" encoding="utf-8"?>
<calcChain xmlns="http://schemas.openxmlformats.org/spreadsheetml/2006/main">
  <c r="C150" i="32" l="1"/>
  <c r="C151" i="32"/>
  <c r="C152" i="32"/>
  <c r="C153" i="32"/>
  <c r="C154" i="32"/>
  <c r="C155" i="32"/>
  <c r="C149" i="32"/>
  <c r="J2" i="7" l="1"/>
  <c r="AV4" i="30" l="1"/>
  <c r="AW4" i="30"/>
  <c r="BD4" i="30" s="1"/>
  <c r="BE4" i="30" s="1"/>
  <c r="BF4" i="30" s="1"/>
  <c r="AX4" i="30"/>
  <c r="AY4" i="30"/>
  <c r="AZ4" i="30"/>
  <c r="BA4" i="30"/>
  <c r="BB4" i="30"/>
  <c r="BC4" i="30"/>
  <c r="BG4" i="30"/>
  <c r="BK4" i="30"/>
  <c r="AV5" i="30"/>
  <c r="AW5" i="30"/>
  <c r="AX5" i="30"/>
  <c r="AY5" i="30"/>
  <c r="AZ5" i="30"/>
  <c r="BA5" i="30"/>
  <c r="BB5" i="30"/>
  <c r="BC5" i="30"/>
  <c r="BD5" i="30"/>
  <c r="BE5" i="30" s="1"/>
  <c r="BF5" i="30" s="1"/>
  <c r="BG5" i="30"/>
  <c r="BH5" i="30"/>
  <c r="BI5" i="30"/>
  <c r="BJ5" i="30"/>
  <c r="BK5" i="30"/>
  <c r="BL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BD8" i="30" s="1"/>
  <c r="BE8" i="30" s="1"/>
  <c r="BF8" i="30" s="1"/>
  <c r="AZ8" i="30"/>
  <c r="BA8" i="30"/>
  <c r="BB8" i="30"/>
  <c r="BC8" i="30"/>
  <c r="AV9" i="30"/>
  <c r="AW9" i="30"/>
  <c r="BD9" i="30" s="1"/>
  <c r="BE9" i="30" s="1"/>
  <c r="BF9" i="30" s="1"/>
  <c r="AX9" i="30"/>
  <c r="AY9" i="30"/>
  <c r="AZ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BE12" i="30" s="1"/>
  <c r="BF12" i="30" s="1"/>
  <c r="AX12" i="30"/>
  <c r="AY12" i="30"/>
  <c r="AZ12" i="30"/>
  <c r="BA12" i="30"/>
  <c r="BB12" i="30"/>
  <c r="BC12" i="30"/>
  <c r="AV13" i="30"/>
  <c r="AW13" i="30"/>
  <c r="AX13" i="30"/>
  <c r="AY13" i="30"/>
  <c r="AZ13" i="30"/>
  <c r="BA13" i="30"/>
  <c r="BB13" i="30"/>
  <c r="BC13" i="30"/>
  <c r="BD13" i="30"/>
  <c r="BE13" i="30" s="1"/>
  <c r="BF13" i="30" s="1"/>
  <c r="BG13" i="30"/>
  <c r="BH13" i="30"/>
  <c r="BI13" i="30"/>
  <c r="BJ13" i="30"/>
  <c r="BK13" i="30"/>
  <c r="BL13" i="30"/>
  <c r="AV14" i="30"/>
  <c r="AW14" i="30"/>
  <c r="BJ14" i="30" s="1"/>
  <c r="AX14" i="30"/>
  <c r="AY14" i="30"/>
  <c r="AZ14" i="30"/>
  <c r="BA14" i="30"/>
  <c r="BB14" i="30"/>
  <c r="BC14" i="30"/>
  <c r="BI14" i="30"/>
  <c r="BK14" i="30"/>
  <c r="AV15" i="30"/>
  <c r="AW15" i="30"/>
  <c r="BG15" i="30" s="1"/>
  <c r="AX15" i="30"/>
  <c r="AY15" i="30"/>
  <c r="AZ15" i="30"/>
  <c r="BA15" i="30"/>
  <c r="BB15" i="30"/>
  <c r="BC15" i="30"/>
  <c r="BD15" i="30"/>
  <c r="BE15" i="30" s="1"/>
  <c r="BF15" i="30" s="1"/>
  <c r="BH15" i="30"/>
  <c r="BI15" i="30"/>
  <c r="BJ15" i="30"/>
  <c r="BK15" i="30"/>
  <c r="BL15" i="30"/>
  <c r="AV16" i="30"/>
  <c r="AW16" i="30"/>
  <c r="AX16" i="30"/>
  <c r="AY16" i="30"/>
  <c r="AZ16" i="30"/>
  <c r="AV17" i="30"/>
  <c r="AW17" i="30"/>
  <c r="AX17" i="30"/>
  <c r="AY17" i="30"/>
  <c r="AZ17" i="30"/>
  <c r="BA17" i="30"/>
  <c r="BB17" i="30"/>
  <c r="BC17" i="30"/>
  <c r="BD17" i="30"/>
  <c r="BE17" i="30" s="1"/>
  <c r="BF17" i="30" s="1"/>
  <c r="BG17" i="30"/>
  <c r="BH17" i="30"/>
  <c r="BI17" i="30"/>
  <c r="BJ17" i="30"/>
  <c r="BK17" i="30"/>
  <c r="BL17" i="30"/>
  <c r="AV18" i="30"/>
  <c r="AW18" i="30"/>
  <c r="BH18" i="30" s="1"/>
  <c r="AX18" i="30"/>
  <c r="AY18" i="30"/>
  <c r="AZ18" i="30"/>
  <c r="BA18" i="30"/>
  <c r="BB18" i="30"/>
  <c r="BC18" i="30"/>
  <c r="BG18" i="30"/>
  <c r="BI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BG19" i="30"/>
  <c r="BH19" i="30"/>
  <c r="BI19" i="30"/>
  <c r="BJ19" i="30"/>
  <c r="BK19" i="30"/>
  <c r="BL19" i="30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BG21" i="30"/>
  <c r="BH21" i="30"/>
  <c r="BI21" i="30"/>
  <c r="BJ21" i="30"/>
  <c r="BK21" i="30"/>
  <c r="BL21" i="30"/>
  <c r="AV22" i="30"/>
  <c r="AW22" i="30"/>
  <c r="BJ22" i="30" s="1"/>
  <c r="AX22" i="30"/>
  <c r="AY22" i="30"/>
  <c r="AZ22" i="30"/>
  <c r="BA22" i="30"/>
  <c r="BB22" i="30"/>
  <c r="BC22" i="30"/>
  <c r="BK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J23" i="30"/>
  <c r="BK23" i="30"/>
  <c r="BL23" i="30"/>
  <c r="AV24" i="30"/>
  <c r="AW24" i="30"/>
  <c r="BH24" i="30" s="1"/>
  <c r="AX24" i="30"/>
  <c r="AY24" i="30"/>
  <c r="AZ24" i="30"/>
  <c r="BA24" i="30"/>
  <c r="BB24" i="30"/>
  <c r="BC24" i="30"/>
  <c r="BG24" i="30"/>
  <c r="BI24" i="30"/>
  <c r="BK24" i="30"/>
  <c r="AV25" i="30"/>
  <c r="AW25" i="30"/>
  <c r="AX25" i="30"/>
  <c r="AY25" i="30"/>
  <c r="AZ25" i="30"/>
  <c r="BA25" i="30"/>
  <c r="BB25" i="30"/>
  <c r="BC25" i="30"/>
  <c r="BD25" i="30"/>
  <c r="BE25" i="30" s="1"/>
  <c r="BF25" i="30" s="1"/>
  <c r="BG25" i="30"/>
  <c r="BH25" i="30"/>
  <c r="BI25" i="30"/>
  <c r="BJ25" i="30"/>
  <c r="BK25" i="30"/>
  <c r="BL25" i="30"/>
  <c r="AV26" i="30"/>
  <c r="AW26" i="30"/>
  <c r="BH26" i="30" s="1"/>
  <c r="AX26" i="30"/>
  <c r="AY26" i="30"/>
  <c r="AZ26" i="30"/>
  <c r="BA26" i="30"/>
  <c r="BB26" i="30"/>
  <c r="BC26" i="30"/>
  <c r="BG26" i="30"/>
  <c r="BI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BG27" i="30"/>
  <c r="BH27" i="30"/>
  <c r="BI27" i="30"/>
  <c r="BJ27" i="30"/>
  <c r="BK27" i="30"/>
  <c r="BL27" i="30"/>
  <c r="AV28" i="30"/>
  <c r="AW28" i="30"/>
  <c r="BD28" i="30" s="1"/>
  <c r="AX28" i="30"/>
  <c r="AY28" i="30"/>
  <c r="AZ28" i="30"/>
  <c r="BA28" i="30"/>
  <c r="BB28" i="30"/>
  <c r="BC28" i="30"/>
  <c r="BG28" i="30"/>
  <c r="AV29" i="30"/>
  <c r="AW29" i="30"/>
  <c r="AX29" i="30"/>
  <c r="AY29" i="30"/>
  <c r="AZ29" i="30"/>
  <c r="BA29" i="30"/>
  <c r="BB29" i="30"/>
  <c r="BC29" i="30"/>
  <c r="BD29" i="30"/>
  <c r="BE29" i="30" s="1"/>
  <c r="BF29" i="30" s="1"/>
  <c r="BG29" i="30"/>
  <c r="BH29" i="30"/>
  <c r="BI29" i="30"/>
  <c r="BJ29" i="30"/>
  <c r="BK29" i="30"/>
  <c r="BL29" i="30"/>
  <c r="AV30" i="30"/>
  <c r="AW30" i="30"/>
  <c r="BJ30" i="30" s="1"/>
  <c r="AX30" i="30"/>
  <c r="AY30" i="30"/>
  <c r="AZ30" i="30"/>
  <c r="BA30" i="30"/>
  <c r="BB30" i="30"/>
  <c r="BC30" i="30"/>
  <c r="J3" i="7"/>
  <c r="K3" i="7"/>
  <c r="L3" i="7" s="1"/>
  <c r="M3" i="7"/>
  <c r="J4" i="7"/>
  <c r="K4" i="7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 s="1"/>
  <c r="L8" i="7" s="1"/>
  <c r="M8" i="7"/>
  <c r="J9" i="7"/>
  <c r="K9" i="7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BG12" i="30" l="1"/>
  <c r="BK12" i="30"/>
  <c r="BI8" i="30"/>
  <c r="BK8" i="30"/>
  <c r="BL8" i="30"/>
  <c r="BG8" i="30"/>
  <c r="BG11" i="30"/>
  <c r="BH11" i="30"/>
  <c r="BI11" i="30"/>
  <c r="BJ11" i="30"/>
  <c r="BK11" i="30"/>
  <c r="BL11" i="30"/>
  <c r="BG9" i="30"/>
  <c r="BH8" i="30"/>
  <c r="BH9" i="30"/>
  <c r="BJ9" i="30"/>
  <c r="BK9" i="30"/>
  <c r="BL9" i="30"/>
  <c r="BI7" i="30"/>
  <c r="BJ7" i="30"/>
  <c r="BL7" i="30"/>
  <c r="BH7" i="30"/>
  <c r="BH30" i="30"/>
  <c r="BJ28" i="30"/>
  <c r="BL26" i="30"/>
  <c r="BD26" i="30"/>
  <c r="BE26" i="30" s="1"/>
  <c r="BF26" i="30" s="1"/>
  <c r="BH22" i="30"/>
  <c r="BJ20" i="30"/>
  <c r="BL18" i="30"/>
  <c r="BD18" i="30"/>
  <c r="BE18" i="30" s="1"/>
  <c r="BF18" i="30" s="1"/>
  <c r="BH14" i="30"/>
  <c r="BJ12" i="30"/>
  <c r="BD10" i="30"/>
  <c r="BG7" i="30"/>
  <c r="BJ4" i="30"/>
  <c r="BE28" i="30"/>
  <c r="BF28" i="30" s="1"/>
  <c r="BK28" i="30"/>
  <c r="BE10" i="30"/>
  <c r="BF10" i="30" s="1"/>
  <c r="BG10" i="30" s="1"/>
  <c r="BG30" i="30"/>
  <c r="BI28" i="30"/>
  <c r="BK26" i="30"/>
  <c r="BG22" i="30"/>
  <c r="BI20" i="30"/>
  <c r="BK18" i="30"/>
  <c r="BG14" i="30"/>
  <c r="BI12" i="30"/>
  <c r="BI4" i="30"/>
  <c r="BI30" i="30"/>
  <c r="BI22" i="30"/>
  <c r="BK20" i="30"/>
  <c r="BH28" i="30"/>
  <c r="BJ26" i="30"/>
  <c r="BL24" i="30"/>
  <c r="BD24" i="30"/>
  <c r="BE24" i="30" s="1"/>
  <c r="BF24" i="30" s="1"/>
  <c r="BH20" i="30"/>
  <c r="BJ18" i="30"/>
  <c r="BD16" i="30"/>
  <c r="BE16" i="30" s="1"/>
  <c r="BF16" i="30" s="1"/>
  <c r="BH16" i="30" s="1"/>
  <c r="BH12" i="30"/>
  <c r="BH4" i="30"/>
  <c r="BG20" i="30"/>
  <c r="BL30" i="30"/>
  <c r="BD30" i="30"/>
  <c r="BE30" i="30" s="1"/>
  <c r="BF30" i="30" s="1"/>
  <c r="BJ24" i="30"/>
  <c r="BL22" i="30"/>
  <c r="BD22" i="30"/>
  <c r="BE22" i="30" s="1"/>
  <c r="BF22" i="30" s="1"/>
  <c r="BL14" i="30"/>
  <c r="BD14" i="30"/>
  <c r="BE14" i="30" s="1"/>
  <c r="BF14" i="30" s="1"/>
  <c r="BI9" i="30"/>
  <c r="BJ8" i="30"/>
  <c r="BK7" i="30"/>
  <c r="BD6" i="30"/>
  <c r="BE6" i="30" s="1"/>
  <c r="BF6" i="30" s="1"/>
  <c r="BH6" i="30" s="1"/>
  <c r="BK30" i="30"/>
  <c r="BL28" i="30"/>
  <c r="BL20" i="30"/>
  <c r="BL12" i="30"/>
  <c r="BL4" i="30"/>
  <c r="BJ10" i="30" l="1"/>
  <c r="BK6" i="30"/>
  <c r="BI6" i="30"/>
  <c r="BJ16" i="30"/>
  <c r="BI10" i="30"/>
  <c r="BG6" i="30"/>
  <c r="BL6" i="30"/>
  <c r="BK10" i="30"/>
  <c r="BJ6" i="30"/>
  <c r="BL10" i="30"/>
  <c r="BI16" i="30"/>
  <c r="BK16" i="30"/>
  <c r="BG16" i="30"/>
  <c r="BH10" i="30"/>
  <c r="BL16" i="30"/>
  <c r="T41" i="32" l="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AF4" i="18"/>
  <c r="C302" i="33" l="1"/>
  <c r="C297" i="33"/>
  <c r="C296" i="33"/>
  <c r="C295" i="33"/>
  <c r="AJ38" i="32" l="1"/>
  <c r="S10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30" l="1"/>
  <c r="AD28" i="30"/>
  <c r="T38" i="32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U137" i="32"/>
  <c r="U136" i="32"/>
  <c r="U135" i="32"/>
  <c r="AA134" i="32"/>
  <c r="Y134" i="32"/>
  <c r="W134" i="32"/>
  <c r="U134" i="32"/>
  <c r="U133" i="32"/>
  <c r="U132" i="32"/>
  <c r="AI145" i="32"/>
  <c r="AH145" i="32"/>
  <c r="AG145" i="32"/>
  <c r="AF145" i="32"/>
  <c r="AI142" i="32"/>
  <c r="AH142" i="32"/>
  <c r="AG142" i="32"/>
  <c r="AF142" i="32"/>
  <c r="AI139" i="32"/>
  <c r="AH139" i="32"/>
  <c r="AG139" i="32"/>
  <c r="AF139" i="32"/>
  <c r="AI136" i="32"/>
  <c r="AH136" i="32"/>
  <c r="AG136" i="32"/>
  <c r="AF136" i="32"/>
  <c r="AI133" i="32"/>
  <c r="AH133" i="32"/>
  <c r="AG133" i="32"/>
  <c r="AF133" i="32"/>
  <c r="AI130" i="32"/>
  <c r="AH130" i="32"/>
  <c r="AG130" i="32"/>
  <c r="AF130" i="32"/>
  <c r="AI127" i="32"/>
  <c r="AH127" i="32"/>
  <c r="AG127" i="32"/>
  <c r="AF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C161" i="32"/>
  <c r="C160" i="32"/>
  <c r="C159" i="32"/>
  <c r="C158" i="32"/>
  <c r="C119" i="32"/>
  <c r="C118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0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2"/>
  <c r="W240" i="32"/>
  <c r="AE240" i="32"/>
  <c r="AD240" i="32"/>
  <c r="AE237" i="32"/>
  <c r="AD237" i="32"/>
  <c r="Z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C10" i="30"/>
  <c r="X9" i="30"/>
  <c r="W9" i="30"/>
  <c r="V9" i="30"/>
  <c r="U9" i="30"/>
  <c r="T9" i="30"/>
  <c r="S9" i="30"/>
  <c r="R9" i="30"/>
  <c r="Q9" i="30"/>
  <c r="P9" i="30"/>
  <c r="O9" i="30"/>
  <c r="N9" i="30"/>
  <c r="L9" i="30"/>
  <c r="K9" i="30"/>
  <c r="J9" i="30"/>
  <c r="I9" i="30"/>
  <c r="H9" i="30"/>
  <c r="D9" i="30"/>
  <c r="C9" i="30"/>
  <c r="X8" i="30"/>
  <c r="W8" i="30"/>
  <c r="V8" i="30"/>
  <c r="U8" i="30"/>
  <c r="T8" i="30"/>
  <c r="S8" i="30"/>
  <c r="R8" i="30"/>
  <c r="Q8" i="30"/>
  <c r="P8" i="30"/>
  <c r="O8" i="30"/>
  <c r="N8" i="30"/>
  <c r="L8" i="30"/>
  <c r="K8" i="30"/>
  <c r="J8" i="30"/>
  <c r="I8" i="30"/>
  <c r="H8" i="30"/>
  <c r="D8" i="30"/>
  <c r="C8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8" i="29"/>
  <c r="Y188" i="29"/>
  <c r="X188" i="29"/>
  <c r="Z187" i="29"/>
  <c r="Y187" i="29"/>
  <c r="X187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72" i="29"/>
  <c r="Y172" i="29"/>
  <c r="X172" i="29"/>
  <c r="Z171" i="29"/>
  <c r="Y171" i="29"/>
  <c r="X171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BP40" i="23" l="1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H91" i="23"/>
  <c r="G91" i="23"/>
  <c r="F91" i="23"/>
  <c r="E91" i="23"/>
  <c r="D91" i="23"/>
  <c r="H81" i="23"/>
  <c r="G81" i="23"/>
  <c r="F81" i="23"/>
  <c r="E81" i="23"/>
  <c r="D81" i="23"/>
  <c r="I73" i="23"/>
  <c r="I72" i="23"/>
  <c r="I75" i="23" s="1"/>
  <c r="I71" i="23"/>
  <c r="H71" i="23"/>
  <c r="G71" i="23"/>
  <c r="F71" i="23"/>
  <c r="E71" i="23"/>
  <c r="D71" i="23"/>
  <c r="BR40" i="23" l="1"/>
  <c r="BR24" i="23"/>
  <c r="BR32" i="23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EJ56" i="32"/>
  <c r="EI56" i="32"/>
  <c r="EH56" i="32"/>
  <c r="EG56" i="32"/>
  <c r="EF56" i="32"/>
  <c r="EE56" i="32"/>
  <c r="ED56" i="32"/>
  <c r="EC56" i="32"/>
  <c r="EJ55" i="32"/>
  <c r="EI55" i="32"/>
  <c r="EH55" i="32"/>
  <c r="EG55" i="32"/>
  <c r="EF55" i="32"/>
  <c r="EE55" i="32"/>
  <c r="ED55" i="32"/>
  <c r="EC55" i="32"/>
  <c r="EJ54" i="32"/>
  <c r="EI54" i="32"/>
  <c r="EH54" i="32"/>
  <c r="EG54" i="32"/>
  <c r="EF54" i="32"/>
  <c r="EE54" i="32"/>
  <c r="ED54" i="32"/>
  <c r="EC54" i="32"/>
  <c r="EJ53" i="32"/>
  <c r="EI53" i="32"/>
  <c r="EH53" i="32"/>
  <c r="EG53" i="32"/>
  <c r="EF53" i="32"/>
  <c r="EE53" i="32"/>
  <c r="ED53" i="32"/>
  <c r="EC53" i="32"/>
  <c r="EJ52" i="32"/>
  <c r="EI52" i="32"/>
  <c r="EH52" i="32"/>
  <c r="EG52" i="32"/>
  <c r="EF52" i="32"/>
  <c r="EE52" i="32"/>
  <c r="ED52" i="32"/>
  <c r="EC52" i="32"/>
  <c r="EJ51" i="32"/>
  <c r="EI51" i="32"/>
  <c r="EH51" i="32"/>
  <c r="EG51" i="32"/>
  <c r="EF51" i="32"/>
  <c r="EE51" i="32"/>
  <c r="ED51" i="32"/>
  <c r="EC51" i="32"/>
  <c r="EJ50" i="32"/>
  <c r="EI50" i="32"/>
  <c r="EH50" i="32"/>
  <c r="EG50" i="32"/>
  <c r="EF50" i="32"/>
  <c r="EE50" i="32"/>
  <c r="ED50" i="32"/>
  <c r="EC50" i="32"/>
  <c r="EJ49" i="32"/>
  <c r="EI49" i="32"/>
  <c r="EH49" i="32"/>
  <c r="EG49" i="32"/>
  <c r="EF49" i="32"/>
  <c r="EE49" i="32"/>
  <c r="ED49" i="32"/>
  <c r="EC49" i="32"/>
  <c r="EJ48" i="32"/>
  <c r="EI48" i="32"/>
  <c r="EH48" i="32"/>
  <c r="EG48" i="32"/>
  <c r="EF48" i="32"/>
  <c r="EE48" i="32"/>
  <c r="ED48" i="32"/>
  <c r="EC48" i="32"/>
  <c r="EJ47" i="32"/>
  <c r="EI47" i="32"/>
  <c r="EH47" i="32"/>
  <c r="EG47" i="32"/>
  <c r="EF47" i="32"/>
  <c r="EE47" i="32"/>
  <c r="ED47" i="32"/>
  <c r="EC47" i="32"/>
  <c r="EB47" i="32"/>
  <c r="EA47" i="32"/>
  <c r="DZ47" i="32"/>
  <c r="DY47" i="32"/>
  <c r="DX47" i="32"/>
  <c r="DW47" i="32"/>
  <c r="DV47" i="32"/>
  <c r="DU47" i="32"/>
  <c r="DT47" i="32"/>
  <c r="DS47" i="32"/>
  <c r="DR47" i="32"/>
  <c r="DQ47" i="32"/>
  <c r="DP47" i="32"/>
  <c r="DO47" i="32"/>
  <c r="DN47" i="32"/>
  <c r="DM47" i="32"/>
  <c r="DL47" i="32"/>
  <c r="AZ3" i="30"/>
  <c r="AY3" i="30"/>
  <c r="BD3" i="30" s="1"/>
  <c r="BE3" i="30" s="1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Z259" i="32" s="1"/>
  <c r="AA259" i="32" s="1"/>
  <c r="AI125" i="32"/>
  <c r="AH125" i="32"/>
  <c r="AG125" i="32"/>
  <c r="AF125" i="32"/>
  <c r="W127" i="32"/>
  <c r="V127" i="32"/>
  <c r="U127" i="32"/>
  <c r="T127" i="32"/>
  <c r="T135" i="32" s="1"/>
  <c r="K113" i="32" s="1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V32" i="32" s="1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V28" i="32" s="1"/>
  <c r="R28" i="32"/>
  <c r="M4" i="32"/>
  <c r="L4" i="32"/>
  <c r="K4" i="32"/>
  <c r="D4" i="32"/>
  <c r="C4" i="32"/>
  <c r="B4" i="32"/>
  <c r="D105" i="31"/>
  <c r="D104" i="31"/>
  <c r="DC2" i="31"/>
  <c r="BZ2" i="31"/>
  <c r="AT2" i="31"/>
  <c r="B165" i="30"/>
  <c r="B122" i="30"/>
  <c r="B80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C69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DD56" i="32"/>
  <c r="DC56" i="32"/>
  <c r="DB56" i="32"/>
  <c r="DA56" i="32"/>
  <c r="CZ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DD55" i="32"/>
  <c r="DC55" i="32"/>
  <c r="DB55" i="32"/>
  <c r="DA55" i="32"/>
  <c r="CZ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DD54" i="32"/>
  <c r="DC54" i="32"/>
  <c r="DB54" i="32"/>
  <c r="DA54" i="32"/>
  <c r="CZ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DD53" i="32"/>
  <c r="DC53" i="32"/>
  <c r="DB53" i="32"/>
  <c r="DA53" i="32"/>
  <c r="CZ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DD52" i="32"/>
  <c r="DC52" i="32"/>
  <c r="DB52" i="32"/>
  <c r="DA52" i="32"/>
  <c r="CZ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DD51" i="32"/>
  <c r="DC51" i="32"/>
  <c r="DB51" i="32"/>
  <c r="DA51" i="32"/>
  <c r="CZ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DD50" i="32"/>
  <c r="DC50" i="32"/>
  <c r="DB50" i="32"/>
  <c r="DA50" i="32"/>
  <c r="CZ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DD49" i="32"/>
  <c r="DC49" i="32"/>
  <c r="DB49" i="32"/>
  <c r="DA49" i="32"/>
  <c r="CZ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DD48" i="32"/>
  <c r="DC48" i="32"/>
  <c r="DB48" i="32"/>
  <c r="DA48" i="32"/>
  <c r="CZ48" i="32"/>
  <c r="DH47" i="32"/>
  <c r="DG47" i="32"/>
  <c r="DF47" i="32"/>
  <c r="DE47" i="32"/>
  <c r="DD47" i="32"/>
  <c r="DC47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CP47" i="32"/>
  <c r="CO47" i="32"/>
  <c r="CN47" i="32"/>
  <c r="CM47" i="32"/>
  <c r="CL47" i="32"/>
  <c r="CK47" i="32"/>
  <c r="CJ4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B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B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B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B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B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B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B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B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B166" i="30"/>
  <c r="AA162" i="30"/>
  <c r="Z162" i="30" s="1"/>
  <c r="W162" i="30"/>
  <c r="V162" i="30"/>
  <c r="U162" i="30"/>
  <c r="T162" i="30"/>
  <c r="S162" i="30"/>
  <c r="Q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C162" i="30"/>
  <c r="B162" i="30"/>
  <c r="AA161" i="30"/>
  <c r="T161" i="30" s="1"/>
  <c r="Y161" i="30"/>
  <c r="X161" i="30"/>
  <c r="W161" i="30"/>
  <c r="V161" i="30"/>
  <c r="U161" i="30"/>
  <c r="S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C161" i="30"/>
  <c r="B161" i="30"/>
  <c r="AA160" i="30"/>
  <c r="X160" i="30" s="1"/>
  <c r="Z160" i="30"/>
  <c r="Y160" i="30"/>
  <c r="S160" i="30"/>
  <c r="R160" i="30"/>
  <c r="Q160" i="30"/>
  <c r="K160" i="30"/>
  <c r="J160" i="30"/>
  <c r="I160" i="30"/>
  <c r="H160" i="30"/>
  <c r="D160" i="30"/>
  <c r="C160" i="30"/>
  <c r="B160" i="30"/>
  <c r="AA159" i="30"/>
  <c r="T159" i="30" s="1"/>
  <c r="K159" i="30"/>
  <c r="D159" i="30"/>
  <c r="C159" i="30"/>
  <c r="B159" i="30"/>
  <c r="AA158" i="30"/>
  <c r="Z158" i="30" s="1"/>
  <c r="W158" i="30"/>
  <c r="V158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AA157" i="30"/>
  <c r="V157" i="30" s="1"/>
  <c r="X157" i="30"/>
  <c r="W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AA156" i="30"/>
  <c r="X156" i="30" s="1"/>
  <c r="Z156" i="30"/>
  <c r="Y156" i="30"/>
  <c r="V156" i="30"/>
  <c r="U156" i="30"/>
  <c r="T156" i="30"/>
  <c r="S156" i="30"/>
  <c r="R156" i="30"/>
  <c r="Q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AA155" i="30"/>
  <c r="S155" i="30" s="1"/>
  <c r="T155" i="30"/>
  <c r="B155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B154" i="30"/>
  <c r="AA153" i="30"/>
  <c r="V153" i="30" s="1"/>
  <c r="Y153" i="30"/>
  <c r="X153" i="30"/>
  <c r="W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B135" i="33" s="1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C135" i="33" s="1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M135" i="33" s="1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N135" i="33" s="1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Y154" i="33" s="1"/>
  <c r="CX101" i="33"/>
  <c r="CX154" i="33" s="1"/>
  <c r="CW101" i="33"/>
  <c r="CV101" i="33"/>
  <c r="CU101" i="33"/>
  <c r="CT101" i="33"/>
  <c r="CS101" i="33"/>
  <c r="CR101" i="33"/>
  <c r="CQ101" i="33"/>
  <c r="CQ154" i="33" s="1"/>
  <c r="CP101" i="33"/>
  <c r="CP154" i="33" s="1"/>
  <c r="CO101" i="33"/>
  <c r="CN101" i="33"/>
  <c r="CM101" i="33"/>
  <c r="CL101" i="33"/>
  <c r="CK101" i="33"/>
  <c r="CJ101" i="33"/>
  <c r="CI101" i="33"/>
  <c r="CI154" i="33" s="1"/>
  <c r="CH101" i="33"/>
  <c r="CH154" i="33" s="1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P152" i="33" s="1"/>
  <c r="CO99" i="33"/>
  <c r="CN99" i="33"/>
  <c r="CM99" i="33"/>
  <c r="CL99" i="33"/>
  <c r="CK99" i="33"/>
  <c r="CJ99" i="33"/>
  <c r="CI99" i="33"/>
  <c r="CH99" i="33"/>
  <c r="CH152" i="33" s="1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Q151" i="33" s="1"/>
  <c r="CP98" i="33"/>
  <c r="CP151" i="33" s="1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J72" i="32" s="1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R71" i="32" s="1"/>
  <c r="BQ60" i="32"/>
  <c r="BP60" i="32"/>
  <c r="BO60" i="32"/>
  <c r="BN60" i="32"/>
  <c r="BM60" i="32"/>
  <c r="BL60" i="32"/>
  <c r="BK60" i="32"/>
  <c r="BJ60" i="32"/>
  <c r="BJ71" i="32" s="1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J70" i="32" s="1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A56" i="32"/>
  <c r="BZ56" i="32"/>
  <c r="BY56" i="32"/>
  <c r="BX56" i="32"/>
  <c r="BW56" i="32"/>
  <c r="BV56" i="32"/>
  <c r="BU56" i="32"/>
  <c r="BT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A55" i="32"/>
  <c r="BZ55" i="32"/>
  <c r="BY55" i="32"/>
  <c r="BX55" i="32"/>
  <c r="BW55" i="32"/>
  <c r="BV55" i="32"/>
  <c r="BU55" i="32"/>
  <c r="BT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A54" i="32"/>
  <c r="BZ54" i="32"/>
  <c r="BY54" i="32"/>
  <c r="BX54" i="32"/>
  <c r="BW54" i="32"/>
  <c r="BV54" i="32"/>
  <c r="BU54" i="32"/>
  <c r="BT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A53" i="32"/>
  <c r="BZ53" i="32"/>
  <c r="BY53" i="32"/>
  <c r="BX53" i="32"/>
  <c r="BW53" i="32"/>
  <c r="BV53" i="32"/>
  <c r="BU53" i="32"/>
  <c r="BT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S73" i="32" s="1"/>
  <c r="CR51" i="32"/>
  <c r="CQ51" i="32"/>
  <c r="CP51" i="32"/>
  <c r="CP73" i="32" s="1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C73" i="32" s="1"/>
  <c r="CB51" i="32"/>
  <c r="CY50" i="32"/>
  <c r="CX50" i="32"/>
  <c r="CW50" i="32"/>
  <c r="CV50" i="32"/>
  <c r="CU50" i="32"/>
  <c r="CT50" i="32"/>
  <c r="CS50" i="32"/>
  <c r="CS72" i="32" s="1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C72" i="32" s="1"/>
  <c r="CB50" i="32"/>
  <c r="CY49" i="32"/>
  <c r="CX49" i="32"/>
  <c r="CW49" i="32"/>
  <c r="CV49" i="32"/>
  <c r="CU49" i="32"/>
  <c r="CT49" i="32"/>
  <c r="CS49" i="32"/>
  <c r="CS71" i="32" s="1"/>
  <c r="CR49" i="32"/>
  <c r="CQ49" i="32"/>
  <c r="CP49" i="32"/>
  <c r="CO49" i="32"/>
  <c r="CN49" i="32"/>
  <c r="CM49" i="32"/>
  <c r="CL49" i="32"/>
  <c r="CK49" i="32"/>
  <c r="CK71" i="32" s="1"/>
  <c r="CJ49" i="32"/>
  <c r="CJ60" i="32" s="1"/>
  <c r="CJ71" i="32" s="1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S70" i="32" s="1"/>
  <c r="CR48" i="32"/>
  <c r="CQ48" i="32"/>
  <c r="CP48" i="32"/>
  <c r="CO48" i="32"/>
  <c r="CN48" i="32"/>
  <c r="CM48" i="32"/>
  <c r="CL48" i="32"/>
  <c r="CK48" i="32"/>
  <c r="CK70" i="32" s="1"/>
  <c r="CJ48" i="32"/>
  <c r="CI48" i="32"/>
  <c r="CH48" i="32"/>
  <c r="CG48" i="32"/>
  <c r="CF48" i="32"/>
  <c r="CE48" i="32"/>
  <c r="CD48" i="32"/>
  <c r="CC48" i="32"/>
  <c r="CC70" i="32" s="1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T93" i="31" s="1"/>
  <c r="CS40" i="31"/>
  <c r="CS93" i="31" s="1"/>
  <c r="CR40" i="31"/>
  <c r="CQ40" i="31"/>
  <c r="CP40" i="31"/>
  <c r="CO40" i="31"/>
  <c r="CN40" i="31"/>
  <c r="CM40" i="31"/>
  <c r="CL40" i="31"/>
  <c r="CL93" i="31" s="1"/>
  <c r="CK40" i="31"/>
  <c r="CK93" i="31" s="1"/>
  <c r="CJ40" i="31"/>
  <c r="CI40" i="31"/>
  <c r="CH40" i="31"/>
  <c r="CG40" i="31"/>
  <c r="CF40" i="31"/>
  <c r="CE40" i="31"/>
  <c r="CD40" i="31"/>
  <c r="CD93" i="31" s="1"/>
  <c r="CC40" i="31"/>
  <c r="CC93" i="31" s="1"/>
  <c r="CB40" i="31"/>
  <c r="CY39" i="31"/>
  <c r="CX39" i="31"/>
  <c r="CW39" i="31"/>
  <c r="CV39" i="31"/>
  <c r="CU39" i="31"/>
  <c r="CT39" i="31"/>
  <c r="CT92" i="31" s="1"/>
  <c r="CS39" i="31"/>
  <c r="CS92" i="31" s="1"/>
  <c r="CR39" i="31"/>
  <c r="CQ39" i="31"/>
  <c r="CP39" i="31"/>
  <c r="CO39" i="31"/>
  <c r="CN39" i="31"/>
  <c r="CM39" i="31"/>
  <c r="CL39" i="31"/>
  <c r="CL92" i="31" s="1"/>
  <c r="CK39" i="31"/>
  <c r="CK92" i="31" s="1"/>
  <c r="CJ39" i="31"/>
  <c r="CI39" i="31"/>
  <c r="CH39" i="31"/>
  <c r="CG39" i="31"/>
  <c r="CF39" i="31"/>
  <c r="CE39" i="31"/>
  <c r="CD39" i="31"/>
  <c r="CD92" i="31" s="1"/>
  <c r="CC39" i="31"/>
  <c r="CC92" i="31" s="1"/>
  <c r="CB39" i="31"/>
  <c r="CY38" i="31"/>
  <c r="CX38" i="31"/>
  <c r="CW38" i="31"/>
  <c r="CV38" i="31"/>
  <c r="CU38" i="31"/>
  <c r="CT38" i="31"/>
  <c r="CT91" i="31" s="1"/>
  <c r="CS38" i="31"/>
  <c r="CS91" i="31" s="1"/>
  <c r="CR38" i="31"/>
  <c r="CQ38" i="31"/>
  <c r="CP38" i="31"/>
  <c r="CO38" i="31"/>
  <c r="CN38" i="31"/>
  <c r="CM38" i="31"/>
  <c r="CL38" i="31"/>
  <c r="CL91" i="31" s="1"/>
  <c r="CK38" i="31"/>
  <c r="CK91" i="31" s="1"/>
  <c r="CJ38" i="31"/>
  <c r="CI38" i="31"/>
  <c r="CH38" i="31"/>
  <c r="CG38" i="31"/>
  <c r="CF38" i="31"/>
  <c r="CE38" i="31"/>
  <c r="CD38" i="31"/>
  <c r="CD91" i="31" s="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W20" i="31" s="1"/>
  <c r="CV9" i="31"/>
  <c r="CU9" i="31"/>
  <c r="CT9" i="31"/>
  <c r="CS9" i="31"/>
  <c r="CR9" i="31"/>
  <c r="CQ9" i="31"/>
  <c r="CP9" i="31"/>
  <c r="CO9" i="31"/>
  <c r="CO20" i="31" s="1"/>
  <c r="CN9" i="31"/>
  <c r="CM9" i="31"/>
  <c r="CL9" i="31"/>
  <c r="CK9" i="31"/>
  <c r="CJ9" i="31"/>
  <c r="CI9" i="31"/>
  <c r="CH9" i="31"/>
  <c r="CG9" i="31"/>
  <c r="CG20" i="31" s="1"/>
  <c r="CF9" i="31"/>
  <c r="CE9" i="31"/>
  <c r="CD9" i="31"/>
  <c r="CC9" i="31"/>
  <c r="CB9" i="31"/>
  <c r="BZ9" i="31"/>
  <c r="CY8" i="31"/>
  <c r="CX8" i="31"/>
  <c r="CX19" i="31" s="1"/>
  <c r="CW8" i="31"/>
  <c r="CV8" i="31"/>
  <c r="CU8" i="31"/>
  <c r="CT8" i="31"/>
  <c r="CS8" i="31"/>
  <c r="CR8" i="31"/>
  <c r="CQ8" i="31"/>
  <c r="CP8" i="31"/>
  <c r="CP19" i="31" s="1"/>
  <c r="CO8" i="31"/>
  <c r="CN8" i="31"/>
  <c r="CM8" i="31"/>
  <c r="CL8" i="31"/>
  <c r="CK8" i="31"/>
  <c r="CJ8" i="31"/>
  <c r="CI8" i="31"/>
  <c r="CH8" i="31"/>
  <c r="CH19" i="31" s="1"/>
  <c r="CG8" i="31"/>
  <c r="CF8" i="31"/>
  <c r="CE8" i="31"/>
  <c r="CD8" i="31"/>
  <c r="CC8" i="31"/>
  <c r="CB8" i="31"/>
  <c r="BZ8" i="31"/>
  <c r="CY7" i="31"/>
  <c r="CY18" i="31" s="1"/>
  <c r="CX7" i="31"/>
  <c r="CX18" i="31" s="1"/>
  <c r="CW7" i="31"/>
  <c r="CW18" i="31" s="1"/>
  <c r="CV7" i="31"/>
  <c r="CU7" i="31"/>
  <c r="CT7" i="31"/>
  <c r="CT18" i="31" s="1"/>
  <c r="CS7" i="31"/>
  <c r="CR7" i="31"/>
  <c r="CQ7" i="31"/>
  <c r="CQ18" i="31" s="1"/>
  <c r="CP7" i="31"/>
  <c r="CP18" i="31" s="1"/>
  <c r="CO7" i="31"/>
  <c r="CO18" i="31" s="1"/>
  <c r="CN7" i="31"/>
  <c r="CM7" i="31"/>
  <c r="CM18" i="31" s="1"/>
  <c r="CL7" i="31"/>
  <c r="CL18" i="31" s="1"/>
  <c r="CK7" i="31"/>
  <c r="CJ7" i="31"/>
  <c r="CI7" i="31"/>
  <c r="CI18" i="31" s="1"/>
  <c r="CH7" i="31"/>
  <c r="CH18" i="31" s="1"/>
  <c r="CG7" i="31"/>
  <c r="CG18" i="31" s="1"/>
  <c r="CF7" i="31"/>
  <c r="CE7" i="31"/>
  <c r="CD7" i="31"/>
  <c r="CD18" i="31" s="1"/>
  <c r="CC7" i="31"/>
  <c r="CB7" i="31"/>
  <c r="BZ7" i="31"/>
  <c r="BZ63" i="31" s="1"/>
  <c r="CY6" i="31"/>
  <c r="CY17" i="31" s="1"/>
  <c r="CX6" i="31"/>
  <c r="CX17" i="31" s="1"/>
  <c r="CW6" i="31"/>
  <c r="CV6" i="31"/>
  <c r="CV17" i="31" s="1"/>
  <c r="CU6" i="31"/>
  <c r="CU17" i="31" s="1"/>
  <c r="CT6" i="31"/>
  <c r="CS6" i="31"/>
  <c r="CR6" i="31"/>
  <c r="CR17" i="31" s="1"/>
  <c r="CQ6" i="31"/>
  <c r="CQ17" i="31" s="1"/>
  <c r="CP6" i="31"/>
  <c r="CP17" i="31" s="1"/>
  <c r="CO6" i="31"/>
  <c r="CN6" i="31"/>
  <c r="CN17" i="31" s="1"/>
  <c r="CM6" i="31"/>
  <c r="CM17" i="31" s="1"/>
  <c r="CL6" i="31"/>
  <c r="CK6" i="31"/>
  <c r="CJ6" i="31"/>
  <c r="CJ17" i="31" s="1"/>
  <c r="CI6" i="31"/>
  <c r="CI17" i="31" s="1"/>
  <c r="CH6" i="31"/>
  <c r="CH17" i="31" s="1"/>
  <c r="CH62" i="31" s="1"/>
  <c r="CH108" i="31" s="1"/>
  <c r="CG6" i="31"/>
  <c r="CF6" i="31"/>
  <c r="CE6" i="31"/>
  <c r="CD6" i="31"/>
  <c r="CC6" i="31"/>
  <c r="CB6" i="31"/>
  <c r="CB17" i="31" s="1"/>
  <c r="BZ6" i="31"/>
  <c r="CY5" i="31"/>
  <c r="CY16" i="31" s="1"/>
  <c r="CX5" i="31"/>
  <c r="CW5" i="31"/>
  <c r="CW16" i="31" s="1"/>
  <c r="CV5" i="31"/>
  <c r="CV16" i="31" s="1"/>
  <c r="CU5" i="31"/>
  <c r="CT5" i="31"/>
  <c r="CS5" i="31"/>
  <c r="CS16" i="31" s="1"/>
  <c r="CR5" i="31"/>
  <c r="CR16" i="31" s="1"/>
  <c r="CQ5" i="31"/>
  <c r="CP5" i="31"/>
  <c r="CO5" i="31"/>
  <c r="CO16" i="31" s="1"/>
  <c r="CN5" i="31"/>
  <c r="CN16" i="31" s="1"/>
  <c r="CM5" i="31"/>
  <c r="CL5" i="31"/>
  <c r="CK5" i="31"/>
  <c r="CK16" i="31" s="1"/>
  <c r="CJ5" i="31"/>
  <c r="CJ16" i="31" s="1"/>
  <c r="CI5" i="31"/>
  <c r="CI16" i="31" s="1"/>
  <c r="CH5" i="31"/>
  <c r="CG5" i="31"/>
  <c r="CG16" i="31" s="1"/>
  <c r="CF5" i="31"/>
  <c r="CF16" i="31" s="1"/>
  <c r="CE5" i="31"/>
  <c r="CD5" i="31"/>
  <c r="CC5" i="31"/>
  <c r="CC91" i="31" s="1"/>
  <c r="CB5" i="31"/>
  <c r="CB16" i="31" s="1"/>
  <c r="BZ5" i="31"/>
  <c r="CY4" i="31"/>
  <c r="CX4" i="31"/>
  <c r="CW4" i="31"/>
  <c r="CW15" i="31" s="1"/>
  <c r="CV4" i="31"/>
  <c r="CU4" i="31"/>
  <c r="CT4" i="31"/>
  <c r="CT15" i="31" s="1"/>
  <c r="CS4" i="31"/>
  <c r="CR4" i="31"/>
  <c r="CR90" i="31" s="1"/>
  <c r="CQ4" i="31"/>
  <c r="CP4" i="31"/>
  <c r="CP15" i="31" s="1"/>
  <c r="CO4" i="31"/>
  <c r="CO15" i="31" s="1"/>
  <c r="CN4" i="31"/>
  <c r="CM4" i="31"/>
  <c r="CL4" i="31"/>
  <c r="CL15" i="31" s="1"/>
  <c r="CK4" i="31"/>
  <c r="CJ4" i="31"/>
  <c r="CJ90" i="31" s="1"/>
  <c r="CI4" i="31"/>
  <c r="CH4" i="31"/>
  <c r="CH15" i="31" s="1"/>
  <c r="CG4" i="31"/>
  <c r="CG15" i="31" s="1"/>
  <c r="CF4" i="31"/>
  <c r="CE4" i="31"/>
  <c r="CD4" i="31"/>
  <c r="CD90" i="31" s="1"/>
  <c r="CC4" i="31"/>
  <c r="CB4" i="31"/>
  <c r="CB15" i="31" s="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B127" i="30"/>
  <c r="Z126" i="30"/>
  <c r="Y126" i="30"/>
  <c r="X126" i="30"/>
  <c r="W126" i="30"/>
  <c r="V126" i="30"/>
  <c r="U126" i="30"/>
  <c r="U26" i="30" s="1"/>
  <c r="T126" i="30"/>
  <c r="S126" i="30"/>
  <c r="R126" i="30"/>
  <c r="Q126" i="30"/>
  <c r="P126" i="30"/>
  <c r="O126" i="30"/>
  <c r="N126" i="30"/>
  <c r="M126" i="30"/>
  <c r="M26" i="30" s="1"/>
  <c r="L126" i="30"/>
  <c r="K126" i="30"/>
  <c r="J126" i="30"/>
  <c r="I126" i="30"/>
  <c r="H126" i="30"/>
  <c r="G126" i="30"/>
  <c r="F126" i="30"/>
  <c r="E126" i="30"/>
  <c r="E26" i="30" s="1"/>
  <c r="D126" i="30"/>
  <c r="C126" i="30"/>
  <c r="Z125" i="30"/>
  <c r="Y125" i="30"/>
  <c r="X125" i="30"/>
  <c r="W125" i="30"/>
  <c r="V125" i="30"/>
  <c r="V26" i="30" s="1"/>
  <c r="U125" i="30"/>
  <c r="T125" i="30"/>
  <c r="S125" i="30"/>
  <c r="R125" i="30"/>
  <c r="Q125" i="30"/>
  <c r="P125" i="30"/>
  <c r="O125" i="30"/>
  <c r="N125" i="30"/>
  <c r="N25" i="30" s="1"/>
  <c r="M125" i="30"/>
  <c r="L125" i="30"/>
  <c r="K125" i="30"/>
  <c r="J125" i="30"/>
  <c r="I125" i="30"/>
  <c r="H125" i="30"/>
  <c r="G125" i="30"/>
  <c r="F125" i="30"/>
  <c r="F25" i="30" s="1"/>
  <c r="E125" i="30"/>
  <c r="D125" i="30"/>
  <c r="C125" i="30"/>
  <c r="Z124" i="30"/>
  <c r="Y124" i="30"/>
  <c r="X124" i="30"/>
  <c r="W124" i="30"/>
  <c r="W25" i="30" s="1"/>
  <c r="V124" i="30"/>
  <c r="U124" i="30"/>
  <c r="T124" i="30"/>
  <c r="S124" i="30"/>
  <c r="R124" i="30"/>
  <c r="Q124" i="30"/>
  <c r="P124" i="30"/>
  <c r="O124" i="30"/>
  <c r="O25" i="30" s="1"/>
  <c r="N124" i="30"/>
  <c r="M124" i="30"/>
  <c r="L124" i="30"/>
  <c r="K124" i="30"/>
  <c r="J124" i="30"/>
  <c r="I124" i="30"/>
  <c r="H124" i="30"/>
  <c r="G124" i="30"/>
  <c r="G25" i="30" s="1"/>
  <c r="F124" i="30"/>
  <c r="E124" i="30"/>
  <c r="D124" i="30"/>
  <c r="C124" i="30"/>
  <c r="Z123" i="30"/>
  <c r="Y123" i="30"/>
  <c r="X123" i="30"/>
  <c r="X25" i="30" s="1"/>
  <c r="W123" i="30"/>
  <c r="V123" i="30"/>
  <c r="U123" i="30"/>
  <c r="T123" i="30"/>
  <c r="S123" i="30"/>
  <c r="R123" i="30"/>
  <c r="Q123" i="30"/>
  <c r="P123" i="30"/>
  <c r="P25" i="30" s="1"/>
  <c r="O123" i="30"/>
  <c r="N123" i="30"/>
  <c r="M123" i="30"/>
  <c r="L123" i="30"/>
  <c r="K123" i="30"/>
  <c r="J123" i="30"/>
  <c r="I123" i="30"/>
  <c r="H123" i="30"/>
  <c r="H26" i="30" s="1"/>
  <c r="G123" i="30"/>
  <c r="F123" i="30"/>
  <c r="E123" i="30"/>
  <c r="D123" i="30"/>
  <c r="C123" i="30"/>
  <c r="AA119" i="30"/>
  <c r="Y119" i="30" s="1"/>
  <c r="Z119" i="30"/>
  <c r="R119" i="30"/>
  <c r="K119" i="30"/>
  <c r="E119" i="30"/>
  <c r="C119" i="30"/>
  <c r="B119" i="30"/>
  <c r="AA118" i="30"/>
  <c r="Y118" i="30" s="1"/>
  <c r="Z118" i="30"/>
  <c r="W118" i="30"/>
  <c r="U118" i="30"/>
  <c r="T118" i="30"/>
  <c r="R118" i="30"/>
  <c r="Q118" i="30"/>
  <c r="O118" i="30"/>
  <c r="M118" i="30"/>
  <c r="L118" i="30"/>
  <c r="J118" i="30"/>
  <c r="I118" i="30"/>
  <c r="G118" i="30"/>
  <c r="E118" i="30"/>
  <c r="D118" i="30"/>
  <c r="B118" i="30"/>
  <c r="AA117" i="30"/>
  <c r="U117" i="30" s="1"/>
  <c r="Q117" i="30"/>
  <c r="H117" i="30"/>
  <c r="B117" i="30"/>
  <c r="AA116" i="30"/>
  <c r="C116" i="30" s="1"/>
  <c r="S116" i="30"/>
  <c r="B116" i="30"/>
  <c r="AA115" i="30"/>
  <c r="Y115" i="30" s="1"/>
  <c r="C115" i="30"/>
  <c r="B115" i="30"/>
  <c r="AA114" i="30"/>
  <c r="X114" i="30" s="1"/>
  <c r="Q114" i="30"/>
  <c r="M114" i="30"/>
  <c r="C114" i="30"/>
  <c r="B114" i="30"/>
  <c r="AA113" i="30"/>
  <c r="U113" i="30" s="1"/>
  <c r="AA112" i="30"/>
  <c r="S112" i="30" s="1"/>
  <c r="AA111" i="30"/>
  <c r="Y111" i="30" s="1"/>
  <c r="AA110" i="30"/>
  <c r="W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T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T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T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T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T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AT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AT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T100" i="33"/>
  <c r="BS99" i="33"/>
  <c r="BR99" i="33"/>
  <c r="BQ99" i="33"/>
  <c r="BP99" i="33"/>
  <c r="BO99" i="33"/>
  <c r="BO152" i="33" s="1"/>
  <c r="BN99" i="33"/>
  <c r="BM99" i="33"/>
  <c r="BM152" i="33" s="1"/>
  <c r="BL99" i="33"/>
  <c r="BK99" i="33"/>
  <c r="BJ99" i="33"/>
  <c r="BI99" i="33"/>
  <c r="BI152" i="33" s="1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AT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AG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AG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AG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AG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AG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AG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AG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AG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AG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AG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AU56" i="32"/>
  <c r="AT56" i="32"/>
  <c r="AS56" i="32"/>
  <c r="AR56" i="32"/>
  <c r="AQ56" i="32"/>
  <c r="AP56" i="32"/>
  <c r="AO56" i="32"/>
  <c r="AN56" i="32"/>
  <c r="AM56" i="32"/>
  <c r="AL56" i="32"/>
  <c r="AK56" i="32"/>
  <c r="AJ56" i="32"/>
  <c r="AI56" i="32"/>
  <c r="AH56" i="32"/>
  <c r="AG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AS54" i="32"/>
  <c r="AR54" i="32"/>
  <c r="AQ54" i="32"/>
  <c r="AP54" i="32"/>
  <c r="AO54" i="32"/>
  <c r="AN54" i="32"/>
  <c r="AM54" i="32"/>
  <c r="AL54" i="32"/>
  <c r="AK54" i="32"/>
  <c r="AJ54" i="32"/>
  <c r="AI54" i="32"/>
  <c r="AH54" i="32"/>
  <c r="AG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AU53" i="32"/>
  <c r="AT53" i="32"/>
  <c r="AS53" i="32"/>
  <c r="AR53" i="32"/>
  <c r="AQ53" i="32"/>
  <c r="AP53" i="32"/>
  <c r="AO53" i="32"/>
  <c r="AN53" i="32"/>
  <c r="AM53" i="32"/>
  <c r="AL53" i="32"/>
  <c r="AK53" i="32"/>
  <c r="AJ53" i="32"/>
  <c r="AI53" i="32"/>
  <c r="AH53" i="32"/>
  <c r="AG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BS50" i="32"/>
  <c r="BR50" i="32"/>
  <c r="BQ50" i="32"/>
  <c r="BP50" i="32"/>
  <c r="BO50" i="32"/>
  <c r="BN50" i="32"/>
  <c r="BM50" i="32"/>
  <c r="BL50" i="32"/>
  <c r="BK50" i="32"/>
  <c r="BJ50" i="32"/>
  <c r="BI50" i="32"/>
  <c r="BI72" i="32" s="1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G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Z71" i="32" s="1"/>
  <c r="AY49" i="32"/>
  <c r="AX49" i="32"/>
  <c r="AW49" i="32"/>
  <c r="AV49" i="32"/>
  <c r="AG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G48" i="32"/>
  <c r="AG4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T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T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T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AT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T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AT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AT40" i="31"/>
  <c r="BS39" i="31"/>
  <c r="BR39" i="31"/>
  <c r="BR92" i="31" s="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AT39" i="31"/>
  <c r="BS38" i="31"/>
  <c r="BR38" i="31"/>
  <c r="BQ38" i="31"/>
  <c r="BP38" i="31"/>
  <c r="BO38" i="31"/>
  <c r="BN38" i="31"/>
  <c r="BM38" i="31"/>
  <c r="BM91" i="31" s="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T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O18" i="31" s="1"/>
  <c r="BN7" i="31"/>
  <c r="BM7" i="31"/>
  <c r="BL7" i="31"/>
  <c r="BK7" i="31"/>
  <c r="BJ7" i="31"/>
  <c r="BI7" i="31"/>
  <c r="BH7" i="31"/>
  <c r="BG7" i="31"/>
  <c r="BG18" i="31" s="1"/>
  <c r="BF7" i="31"/>
  <c r="BE7" i="31"/>
  <c r="BD7" i="31"/>
  <c r="BC7" i="31"/>
  <c r="BB7" i="31"/>
  <c r="BA7" i="31"/>
  <c r="AZ7" i="31"/>
  <c r="AY7" i="31"/>
  <c r="AY18" i="31" s="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G17" i="31" s="1"/>
  <c r="BF6" i="31"/>
  <c r="BE6" i="31"/>
  <c r="BD6" i="31"/>
  <c r="BC6" i="31"/>
  <c r="BB6" i="31"/>
  <c r="BA6" i="31"/>
  <c r="AZ6" i="31"/>
  <c r="AY6" i="31"/>
  <c r="AY17" i="31" s="1"/>
  <c r="AX6" i="31"/>
  <c r="AW6" i="31"/>
  <c r="AV6" i="31"/>
  <c r="BS5" i="31"/>
  <c r="BR5" i="31"/>
  <c r="BQ5" i="31"/>
  <c r="BP5" i="31"/>
  <c r="BO5" i="31"/>
  <c r="BO16" i="31" s="1"/>
  <c r="BN5" i="31"/>
  <c r="BM5" i="31"/>
  <c r="BL5" i="31"/>
  <c r="BK5" i="31"/>
  <c r="BJ5" i="31"/>
  <c r="BI5" i="31"/>
  <c r="BH5" i="31"/>
  <c r="BG5" i="31"/>
  <c r="BG16" i="31" s="1"/>
  <c r="BF5" i="31"/>
  <c r="BE5" i="31"/>
  <c r="BD5" i="31"/>
  <c r="BC5" i="31"/>
  <c r="BB5" i="31"/>
  <c r="BA5" i="31"/>
  <c r="AZ5" i="31"/>
  <c r="AY5" i="31"/>
  <c r="AY16" i="31" s="1"/>
  <c r="AX5" i="31"/>
  <c r="AW5" i="31"/>
  <c r="AV5" i="31"/>
  <c r="BS4" i="31"/>
  <c r="BR4" i="31"/>
  <c r="BQ4" i="31"/>
  <c r="BP4" i="31"/>
  <c r="BO4" i="31"/>
  <c r="BN4" i="31"/>
  <c r="BM4" i="31"/>
  <c r="BL4" i="31"/>
  <c r="BL15" i="31" s="1"/>
  <c r="BK4" i="31"/>
  <c r="BJ4" i="31"/>
  <c r="BI4" i="31"/>
  <c r="BH4" i="31"/>
  <c r="BG4" i="31"/>
  <c r="BF4" i="31"/>
  <c r="BE4" i="31"/>
  <c r="BD4" i="31"/>
  <c r="BD15" i="31" s="1"/>
  <c r="BC4" i="31"/>
  <c r="BB4" i="31"/>
  <c r="BA4" i="31"/>
  <c r="AZ4" i="31"/>
  <c r="AY4" i="31"/>
  <c r="AX4" i="31"/>
  <c r="AW4" i="31"/>
  <c r="AV4" i="31"/>
  <c r="AV15" i="31" s="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Z83" i="30"/>
  <c r="Y83" i="30"/>
  <c r="X83" i="30"/>
  <c r="W83" i="30"/>
  <c r="V83" i="30"/>
  <c r="U83" i="30"/>
  <c r="T83" i="30"/>
  <c r="S83" i="30"/>
  <c r="R83" i="30"/>
  <c r="Q83" i="30"/>
  <c r="Q20" i="30" s="1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B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F3" i="30" s="1"/>
  <c r="E82" i="30"/>
  <c r="D82" i="30"/>
  <c r="C82" i="30"/>
  <c r="B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G20" i="30" s="1"/>
  <c r="F81" i="30"/>
  <c r="E81" i="30"/>
  <c r="D81" i="30"/>
  <c r="C81" i="30"/>
  <c r="B81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A76" i="30"/>
  <c r="Z76" i="30" s="1"/>
  <c r="Y76" i="30"/>
  <c r="X76" i="30"/>
  <c r="T76" i="30"/>
  <c r="S76" i="30"/>
  <c r="Q76" i="30"/>
  <c r="P76" i="30"/>
  <c r="O76" i="30"/>
  <c r="N76" i="30"/>
  <c r="L76" i="30"/>
  <c r="K76" i="30"/>
  <c r="I76" i="30"/>
  <c r="H76" i="30"/>
  <c r="G76" i="30"/>
  <c r="F76" i="30"/>
  <c r="D76" i="30"/>
  <c r="C76" i="30"/>
  <c r="B76" i="30"/>
  <c r="AA75" i="30"/>
  <c r="S75" i="30" s="1"/>
  <c r="B75" i="30"/>
  <c r="AA74" i="30"/>
  <c r="V74" i="30" s="1"/>
  <c r="X74" i="30"/>
  <c r="U74" i="30"/>
  <c r="T74" i="30"/>
  <c r="S74" i="30"/>
  <c r="P74" i="30"/>
  <c r="M74" i="30"/>
  <c r="L74" i="30"/>
  <c r="K74" i="30"/>
  <c r="H74" i="30"/>
  <c r="E74" i="30"/>
  <c r="D74" i="30"/>
  <c r="C74" i="30"/>
  <c r="B74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A72" i="30"/>
  <c r="Z72" i="30" s="1"/>
  <c r="Y72" i="30"/>
  <c r="X72" i="30"/>
  <c r="W72" i="30"/>
  <c r="T72" i="30"/>
  <c r="S72" i="30"/>
  <c r="Q72" i="30"/>
  <c r="P72" i="30"/>
  <c r="O72" i="30"/>
  <c r="L72" i="30"/>
  <c r="K72" i="30"/>
  <c r="J72" i="30"/>
  <c r="I72" i="30"/>
  <c r="H72" i="30"/>
  <c r="G72" i="30"/>
  <c r="F72" i="30"/>
  <c r="E72" i="30"/>
  <c r="D72" i="30"/>
  <c r="C72" i="30"/>
  <c r="B72" i="30"/>
  <c r="AA71" i="30"/>
  <c r="Z71" i="30" s="1"/>
  <c r="B71" i="30"/>
  <c r="AA70" i="30"/>
  <c r="U70" i="30" s="1"/>
  <c r="B70" i="30"/>
  <c r="AA69" i="30"/>
  <c r="T69" i="30" s="1"/>
  <c r="B69" i="30"/>
  <c r="AA68" i="30"/>
  <c r="V68" i="30" s="1"/>
  <c r="B6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K225" i="33"/>
  <c r="K224" i="33"/>
  <c r="K223" i="33"/>
  <c r="AL207" i="33"/>
  <c r="D210" i="33" s="1"/>
  <c r="DD96" i="33"/>
  <c r="DD95" i="33"/>
  <c r="DD94" i="33"/>
  <c r="DD93" i="33"/>
  <c r="DD92" i="33"/>
  <c r="DD91" i="33"/>
  <c r="DD90" i="33"/>
  <c r="DD89" i="33"/>
  <c r="DD88" i="33"/>
  <c r="DD87" i="33"/>
  <c r="CA96" i="33"/>
  <c r="CA95" i="33"/>
  <c r="CA94" i="33"/>
  <c r="CA93" i="33"/>
  <c r="CA92" i="33"/>
  <c r="CA91" i="33"/>
  <c r="CA90" i="33"/>
  <c r="CA89" i="33"/>
  <c r="CP89" i="33" s="1"/>
  <c r="CA88" i="33"/>
  <c r="CA87" i="33"/>
  <c r="AU96" i="33"/>
  <c r="AU95" i="33"/>
  <c r="AU94" i="33"/>
  <c r="AU93" i="33"/>
  <c r="AU92" i="33"/>
  <c r="AU91" i="33"/>
  <c r="AU90" i="33"/>
  <c r="AU89" i="33"/>
  <c r="AU88" i="33"/>
  <c r="AU87" i="33"/>
  <c r="C83" i="33"/>
  <c r="C62" i="33"/>
  <c r="D62" i="33" s="1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37" i="33"/>
  <c r="C36" i="33"/>
  <c r="C35" i="33"/>
  <c r="C34" i="33"/>
  <c r="C33" i="33"/>
  <c r="C32" i="33"/>
  <c r="D32" i="33" s="1"/>
  <c r="C31" i="33"/>
  <c r="C30" i="33"/>
  <c r="C29" i="33"/>
  <c r="C28" i="33"/>
  <c r="C27" i="33"/>
  <c r="C26" i="33"/>
  <c r="C25" i="33"/>
  <c r="D25" i="33" s="1"/>
  <c r="C24" i="33"/>
  <c r="D24" i="33" s="1"/>
  <c r="C23" i="33"/>
  <c r="D23" i="33" s="1"/>
  <c r="C22" i="33"/>
  <c r="C21" i="33"/>
  <c r="C20" i="33"/>
  <c r="C19" i="33"/>
  <c r="C18" i="33"/>
  <c r="C17" i="33"/>
  <c r="C16" i="33"/>
  <c r="C15" i="33"/>
  <c r="C14" i="33"/>
  <c r="C13" i="33"/>
  <c r="D13" i="33" s="1"/>
  <c r="C12" i="33"/>
  <c r="C11" i="33"/>
  <c r="D11" i="33" s="1"/>
  <c r="C8" i="33"/>
  <c r="C7" i="33"/>
  <c r="C6" i="33"/>
  <c r="C5" i="33"/>
  <c r="C4" i="33"/>
  <c r="C3" i="33"/>
  <c r="C2" i="33"/>
  <c r="C1" i="33"/>
  <c r="V263" i="32"/>
  <c r="J46" i="32" s="1"/>
  <c r="C210" i="33" s="1"/>
  <c r="T254" i="32"/>
  <c r="T260" i="32" s="1"/>
  <c r="U260" i="32" s="1"/>
  <c r="T246" i="32"/>
  <c r="B166" i="32" s="1"/>
  <c r="T245" i="32"/>
  <c r="X245" i="32" s="1"/>
  <c r="T240" i="32"/>
  <c r="T273" i="32" s="1"/>
  <c r="T236" i="32"/>
  <c r="C188" i="33" s="1"/>
  <c r="D188" i="33" s="1"/>
  <c r="T235" i="32"/>
  <c r="T274" i="32" s="1"/>
  <c r="B167" i="32"/>
  <c r="B152" i="32"/>
  <c r="S52" i="32"/>
  <c r="S51" i="32"/>
  <c r="I217" i="33" s="1"/>
  <c r="S50" i="32"/>
  <c r="Z35" i="32"/>
  <c r="T25" i="32"/>
  <c r="W10" i="32"/>
  <c r="V10" i="32"/>
  <c r="U10" i="32"/>
  <c r="T10" i="32"/>
  <c r="T5" i="32"/>
  <c r="B87" i="31"/>
  <c r="B86" i="31"/>
  <c r="DD35" i="31"/>
  <c r="DD34" i="31"/>
  <c r="DD33" i="31"/>
  <c r="DD32" i="31"/>
  <c r="DD31" i="31"/>
  <c r="DD30" i="31"/>
  <c r="DD29" i="31"/>
  <c r="DD28" i="31"/>
  <c r="DD27" i="31"/>
  <c r="DD26" i="31"/>
  <c r="CA35" i="31"/>
  <c r="CA34" i="31"/>
  <c r="CA33" i="31"/>
  <c r="CA32" i="31"/>
  <c r="CA31" i="31"/>
  <c r="CA30" i="31"/>
  <c r="CA29" i="31"/>
  <c r="CA28" i="31"/>
  <c r="CA27" i="31"/>
  <c r="CA26" i="31"/>
  <c r="CR26" i="31" s="1"/>
  <c r="AU35" i="31"/>
  <c r="AU34" i="31"/>
  <c r="AU33" i="31"/>
  <c r="AU32" i="31"/>
  <c r="AU31" i="31"/>
  <c r="AU30" i="31"/>
  <c r="AU29" i="31"/>
  <c r="AU28" i="31"/>
  <c r="AU27" i="31"/>
  <c r="AU26" i="31"/>
  <c r="E22" i="31"/>
  <c r="E21" i="31"/>
  <c r="E20" i="31"/>
  <c r="E18" i="31"/>
  <c r="C18" i="31"/>
  <c r="B18" i="31"/>
  <c r="E17" i="31"/>
  <c r="C17" i="31"/>
  <c r="B17" i="31"/>
  <c r="E16" i="31"/>
  <c r="C16" i="31"/>
  <c r="D16" i="31" s="1"/>
  <c r="F16" i="31" s="1"/>
  <c r="B16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AK25" i="30"/>
  <c r="AK22" i="30"/>
  <c r="AK21" i="30"/>
  <c r="AK20" i="30"/>
  <c r="AH22" i="30"/>
  <c r="AE22" i="30"/>
  <c r="AD22" i="30"/>
  <c r="AD20" i="30"/>
  <c r="AF20" i="30" s="1"/>
  <c r="AD13" i="30"/>
  <c r="AD14" i="30" s="1"/>
  <c r="T233" i="32" s="1"/>
  <c r="T271" i="32" s="1"/>
  <c r="AJ8" i="30"/>
  <c r="B81" i="31" s="1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J128" i="32" s="1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V41" i="32"/>
  <c r="T40" i="32"/>
  <c r="V40" i="32" s="1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C273" i="33"/>
  <c r="D273" i="33" s="1"/>
  <c r="W273" i="32"/>
  <c r="AM217" i="33" s="1"/>
  <c r="W271" i="32"/>
  <c r="AM215" i="33" s="1"/>
  <c r="X28" i="29"/>
  <c r="X27" i="29"/>
  <c r="AC207" i="32"/>
  <c r="AA205" i="32"/>
  <c r="AC201" i="32"/>
  <c r="AB201" i="32"/>
  <c r="AA201" i="32"/>
  <c r="AC200" i="32"/>
  <c r="AC199" i="32"/>
  <c r="AB199" i="32"/>
  <c r="AC198" i="32"/>
  <c r="AB198" i="32"/>
  <c r="AB197" i="32"/>
  <c r="AC196" i="32"/>
  <c r="AA196" i="32"/>
  <c r="AC195" i="32"/>
  <c r="AC192" i="32"/>
  <c r="AA192" i="32"/>
  <c r="AB191" i="32"/>
  <c r="AC190" i="32"/>
  <c r="AB190" i="32"/>
  <c r="AB189" i="32"/>
  <c r="AC188" i="32"/>
  <c r="AC184" i="32"/>
  <c r="AB183" i="32"/>
  <c r="AC182" i="32"/>
  <c r="AB182" i="32"/>
  <c r="AC180" i="32"/>
  <c r="AC179" i="32"/>
  <c r="AB179" i="32"/>
  <c r="AC177" i="32"/>
  <c r="AC176" i="32"/>
  <c r="AB174" i="32"/>
  <c r="AC172" i="32"/>
  <c r="AC171" i="32"/>
  <c r="AB171" i="32"/>
  <c r="V206" i="32"/>
  <c r="AJ205" i="32"/>
  <c r="V204" i="32"/>
  <c r="AJ201" i="32"/>
  <c r="AJ200" i="32"/>
  <c r="V199" i="32"/>
  <c r="AJ197" i="32"/>
  <c r="V194" i="32"/>
  <c r="V191" i="32"/>
  <c r="AJ189" i="32"/>
  <c r="AG185" i="32"/>
  <c r="V183" i="32"/>
  <c r="U181" i="32"/>
  <c r="V180" i="32"/>
  <c r="AJ179" i="32"/>
  <c r="AF178" i="32"/>
  <c r="AI177" i="32"/>
  <c r="AI174" i="32"/>
  <c r="AC207" i="29"/>
  <c r="AB207" i="29"/>
  <c r="AC206" i="29"/>
  <c r="AB206" i="29"/>
  <c r="AA203" i="29"/>
  <c r="AC202" i="29"/>
  <c r="AC200" i="29"/>
  <c r="AC199" i="29"/>
  <c r="AC198" i="29"/>
  <c r="AA198" i="29"/>
  <c r="AC197" i="29"/>
  <c r="AC194" i="29"/>
  <c r="AA194" i="29"/>
  <c r="AC193" i="29"/>
  <c r="AC192" i="29"/>
  <c r="AC191" i="29"/>
  <c r="AB191" i="29"/>
  <c r="AA191" i="29"/>
  <c r="AC190" i="29"/>
  <c r="AA185" i="29"/>
  <c r="AC183" i="29"/>
  <c r="AC182" i="29"/>
  <c r="AB182" i="29"/>
  <c r="AC180" i="29"/>
  <c r="AB178" i="29"/>
  <c r="AA178" i="29"/>
  <c r="AC176" i="29"/>
  <c r="AC174" i="29"/>
  <c r="AC173" i="29"/>
  <c r="AA173" i="29"/>
  <c r="AJ207" i="29"/>
  <c r="AJ206" i="29"/>
  <c r="AG202" i="29"/>
  <c r="V201" i="29"/>
  <c r="AG198" i="29"/>
  <c r="AG190" i="29"/>
  <c r="AI185" i="29"/>
  <c r="AJ182" i="29"/>
  <c r="W179" i="29"/>
  <c r="AG178" i="29"/>
  <c r="AF177" i="29"/>
  <c r="W174" i="29"/>
  <c r="W172" i="29"/>
  <c r="L112" i="32"/>
  <c r="D256" i="33"/>
  <c r="D255" i="33"/>
  <c r="D254" i="33"/>
  <c r="C229" i="33"/>
  <c r="Q140" i="33"/>
  <c r="AT137" i="33"/>
  <c r="H136" i="33"/>
  <c r="AC131" i="33"/>
  <c r="AD131" i="33"/>
  <c r="C124" i="33"/>
  <c r="D124" i="33" s="1"/>
  <c r="M140" i="33"/>
  <c r="AT115" i="33"/>
  <c r="AT127" i="33" s="1"/>
  <c r="AT111" i="33"/>
  <c r="AT123" i="33" s="1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AT118" i="33"/>
  <c r="AT130" i="33" s="1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AT117" i="33"/>
  <c r="AT129" i="33" s="1"/>
  <c r="Y139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T116" i="33"/>
  <c r="AT128" i="33" s="1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AT114" i="33"/>
  <c r="AT126" i="33" s="1"/>
  <c r="AT172" i="33" s="1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AT113" i="33"/>
  <c r="AT125" i="33" s="1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W154" i="33"/>
  <c r="CV154" i="33"/>
  <c r="CU154" i="33"/>
  <c r="CT154" i="33"/>
  <c r="CS154" i="33"/>
  <c r="CR154" i="33"/>
  <c r="CO154" i="33"/>
  <c r="CN154" i="33"/>
  <c r="CM154" i="33"/>
  <c r="CL154" i="33"/>
  <c r="CK154" i="33"/>
  <c r="CJ154" i="33"/>
  <c r="CG154" i="33"/>
  <c r="CF154" i="33"/>
  <c r="CE154" i="33"/>
  <c r="CD154" i="33"/>
  <c r="CC154" i="33"/>
  <c r="CB154" i="33"/>
  <c r="BO154" i="33"/>
  <c r="BN154" i="33"/>
  <c r="BM154" i="33"/>
  <c r="BL154" i="33"/>
  <c r="BK154" i="33"/>
  <c r="BJ154" i="33"/>
  <c r="BI154" i="33"/>
  <c r="BH154" i="33"/>
  <c r="BG154" i="33"/>
  <c r="AT112" i="33"/>
  <c r="AT124" i="33" s="1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BJ153" i="33"/>
  <c r="BI153" i="33"/>
  <c r="BH153" i="33"/>
  <c r="BG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V152" i="33"/>
  <c r="CU152" i="33"/>
  <c r="CT152" i="33"/>
  <c r="CS152" i="33"/>
  <c r="CR152" i="33"/>
  <c r="CQ152" i="33"/>
  <c r="CO152" i="33"/>
  <c r="CN152" i="33"/>
  <c r="CM152" i="33"/>
  <c r="CL152" i="33"/>
  <c r="CK152" i="33"/>
  <c r="CJ152" i="33"/>
  <c r="CI152" i="33"/>
  <c r="BN152" i="33"/>
  <c r="BL152" i="33"/>
  <c r="BK152" i="33"/>
  <c r="BJ152" i="33"/>
  <c r="BH152" i="33"/>
  <c r="BG152" i="33"/>
  <c r="BF152" i="33"/>
  <c r="BE152" i="33"/>
  <c r="AT110" i="33"/>
  <c r="AT122" i="33" s="1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CO151" i="33"/>
  <c r="CN151" i="33"/>
  <c r="BL151" i="33"/>
  <c r="BK151" i="33"/>
  <c r="BJ151" i="33"/>
  <c r="BI151" i="33"/>
  <c r="BH151" i="33"/>
  <c r="BG151" i="33"/>
  <c r="AT109" i="33"/>
  <c r="AT121" i="33" s="1"/>
  <c r="DS96" i="33"/>
  <c r="CX96" i="33"/>
  <c r="CU96" i="33"/>
  <c r="CS96" i="33"/>
  <c r="CR96" i="33"/>
  <c r="CP96" i="33"/>
  <c r="CM96" i="33"/>
  <c r="CK96" i="33"/>
  <c r="CJ96" i="33"/>
  <c r="CH96" i="33"/>
  <c r="CE96" i="33"/>
  <c r="CC96" i="33"/>
  <c r="CB96" i="33"/>
  <c r="CW96" i="33"/>
  <c r="BQ96" i="33"/>
  <c r="BO96" i="33"/>
  <c r="BN96" i="33"/>
  <c r="BL96" i="33"/>
  <c r="BI96" i="33"/>
  <c r="BG96" i="33"/>
  <c r="BF96" i="33"/>
  <c r="BD96" i="33"/>
  <c r="BA96" i="33"/>
  <c r="AY96" i="33"/>
  <c r="AX96" i="33"/>
  <c r="AV96" i="33"/>
  <c r="BS96" i="33"/>
  <c r="AT159" i="33"/>
  <c r="DZ95" i="33"/>
  <c r="DW95" i="33"/>
  <c r="DO95" i="33"/>
  <c r="DM95" i="33"/>
  <c r="DJ95" i="33"/>
  <c r="DG95" i="33"/>
  <c r="DR95" i="33"/>
  <c r="CV95" i="33"/>
  <c r="CT95" i="33"/>
  <c r="CQ95" i="33"/>
  <c r="CN95" i="33"/>
  <c r="CF95" i="33"/>
  <c r="CD95" i="33"/>
  <c r="BR95" i="33"/>
  <c r="BP95" i="33"/>
  <c r="BO95" i="33"/>
  <c r="BM95" i="33"/>
  <c r="BJ95" i="33"/>
  <c r="BH95" i="33"/>
  <c r="BG95" i="33"/>
  <c r="BE95" i="33"/>
  <c r="BB95" i="33"/>
  <c r="AZ95" i="33"/>
  <c r="AY95" i="33"/>
  <c r="AW95" i="33"/>
  <c r="BL95" i="33"/>
  <c r="EA94" i="33"/>
  <c r="DX94" i="33"/>
  <c r="DV94" i="33"/>
  <c r="DU94" i="33"/>
  <c r="DS94" i="33"/>
  <c r="DP94" i="33"/>
  <c r="DN94" i="33"/>
  <c r="DM94" i="33"/>
  <c r="DK94" i="33"/>
  <c r="DH94" i="33"/>
  <c r="DG94" i="33"/>
  <c r="DF94" i="33"/>
  <c r="DE94" i="33"/>
  <c r="DZ94" i="33"/>
  <c r="CW94" i="33"/>
  <c r="CT94" i="33"/>
  <c r="CO94" i="33"/>
  <c r="CM94" i="33"/>
  <c r="CL94" i="33"/>
  <c r="CJ94" i="33"/>
  <c r="CG94" i="33"/>
  <c r="CD94" i="33"/>
  <c r="CY94" i="33"/>
  <c r="BS94" i="33"/>
  <c r="BQ94" i="33"/>
  <c r="BP94" i="33"/>
  <c r="BN94" i="33"/>
  <c r="BI94" i="33"/>
  <c r="BF94" i="33"/>
  <c r="BC94" i="33"/>
  <c r="BA94" i="33"/>
  <c r="AZ94" i="33"/>
  <c r="AX94" i="33"/>
  <c r="CR94" i="33"/>
  <c r="AT157" i="33"/>
  <c r="AA138" i="33"/>
  <c r="DY93" i="33"/>
  <c r="DW93" i="33"/>
  <c r="DO93" i="33"/>
  <c r="DN93" i="33"/>
  <c r="DI93" i="33"/>
  <c r="DG93" i="33"/>
  <c r="DQ93" i="33"/>
  <c r="CX93" i="33"/>
  <c r="CV93" i="33"/>
  <c r="CU93" i="33"/>
  <c r="CS93" i="33"/>
  <c r="CP93" i="33"/>
  <c r="CN93" i="33"/>
  <c r="CM93" i="33"/>
  <c r="CK93" i="33"/>
  <c r="CH93" i="33"/>
  <c r="CF93" i="33"/>
  <c r="CE93" i="33"/>
  <c r="CC93" i="33"/>
  <c r="CR93" i="33"/>
  <c r="BR93" i="33"/>
  <c r="BQ93" i="33"/>
  <c r="BO93" i="33"/>
  <c r="BL93" i="33"/>
  <c r="BJ93" i="33"/>
  <c r="BI93" i="33"/>
  <c r="BG93" i="33"/>
  <c r="BD93" i="33"/>
  <c r="BB93" i="33"/>
  <c r="BA93" i="33"/>
  <c r="AY93" i="33"/>
  <c r="AV93" i="33"/>
  <c r="BN93" i="33"/>
  <c r="DY92" i="33"/>
  <c r="DV92" i="33"/>
  <c r="DT92" i="33"/>
  <c r="DQ92" i="33"/>
  <c r="DO92" i="33"/>
  <c r="DN92" i="33"/>
  <c r="DK92" i="33"/>
  <c r="DI92" i="33"/>
  <c r="DH92" i="33"/>
  <c r="DG92" i="33"/>
  <c r="DF92" i="33"/>
  <c r="DE92" i="33"/>
  <c r="DW92" i="33"/>
  <c r="CM92" i="33"/>
  <c r="CL92" i="33"/>
  <c r="CH92" i="33"/>
  <c r="BS92" i="33"/>
  <c r="BQ92" i="33"/>
  <c r="BP92" i="33"/>
  <c r="BC92" i="33"/>
  <c r="BA92" i="33"/>
  <c r="AZ92" i="33"/>
  <c r="CT92" i="33"/>
  <c r="AT156" i="33"/>
  <c r="EA91" i="33"/>
  <c r="DY91" i="33"/>
  <c r="DX91" i="33"/>
  <c r="DW91" i="33"/>
  <c r="DV91" i="33"/>
  <c r="DU91" i="33"/>
  <c r="DS91" i="33"/>
  <c r="DQ91" i="33"/>
  <c r="DP91" i="33"/>
  <c r="DO91" i="33"/>
  <c r="DN91" i="33"/>
  <c r="DM91" i="33"/>
  <c r="DK91" i="33"/>
  <c r="DI91" i="33"/>
  <c r="DH91" i="33"/>
  <c r="DG91" i="33"/>
  <c r="DF91" i="33"/>
  <c r="DE91" i="33"/>
  <c r="EB91" i="33"/>
  <c r="CW91" i="33"/>
  <c r="CO91" i="33"/>
  <c r="CM91" i="33"/>
  <c r="CL91" i="33"/>
  <c r="CG91" i="33"/>
  <c r="BZ91" i="33"/>
  <c r="BZ155" i="33" s="1"/>
  <c r="BS91" i="33"/>
  <c r="BQ91" i="33"/>
  <c r="BL91" i="33"/>
  <c r="BD91" i="33"/>
  <c r="BC91" i="33"/>
  <c r="BA91" i="33"/>
  <c r="AV91" i="33"/>
  <c r="CT91" i="33"/>
  <c r="AT155" i="33"/>
  <c r="EA90" i="33"/>
  <c r="DY90" i="33"/>
  <c r="DX90" i="33"/>
  <c r="DW90" i="33"/>
  <c r="DV90" i="33"/>
  <c r="DU90" i="33"/>
  <c r="DS90" i="33"/>
  <c r="DQ90" i="33"/>
  <c r="DP90" i="33"/>
  <c r="DO90" i="33"/>
  <c r="DN90" i="33"/>
  <c r="DM90" i="33"/>
  <c r="DK90" i="33"/>
  <c r="DI90" i="33"/>
  <c r="DH90" i="33"/>
  <c r="DG90" i="33"/>
  <c r="DF90" i="33"/>
  <c r="DE90" i="33"/>
  <c r="EB90" i="33"/>
  <c r="CX90" i="33"/>
  <c r="CP90" i="33"/>
  <c r="CO90" i="33"/>
  <c r="CM90" i="33"/>
  <c r="CH90" i="33"/>
  <c r="CY90" i="33"/>
  <c r="BZ90" i="33"/>
  <c r="BZ154" i="33" s="1"/>
  <c r="BS90" i="33"/>
  <c r="BP90" i="33"/>
  <c r="BH90" i="33"/>
  <c r="BD90" i="33"/>
  <c r="BC90" i="33"/>
  <c r="AZ90" i="33"/>
  <c r="CT90" i="33"/>
  <c r="AT154" i="33"/>
  <c r="EA89" i="33"/>
  <c r="DY89" i="33"/>
  <c r="DX89" i="33"/>
  <c r="DW89" i="33"/>
  <c r="DV89" i="33"/>
  <c r="DU89" i="33"/>
  <c r="DS89" i="33"/>
  <c r="DQ89" i="33"/>
  <c r="DP89" i="33"/>
  <c r="DO89" i="33"/>
  <c r="DN89" i="33"/>
  <c r="DM89" i="33"/>
  <c r="DK89" i="33"/>
  <c r="DI89" i="33"/>
  <c r="DH89" i="33"/>
  <c r="DG89" i="33"/>
  <c r="DF89" i="33"/>
  <c r="DE89" i="33"/>
  <c r="EB89" i="33"/>
  <c r="BQ89" i="33"/>
  <c r="BP89" i="33"/>
  <c r="BL89" i="33"/>
  <c r="BI89" i="33"/>
  <c r="BH89" i="33"/>
  <c r="BD89" i="33"/>
  <c r="BA89" i="33"/>
  <c r="AZ89" i="33"/>
  <c r="AV89" i="33"/>
  <c r="AT153" i="33"/>
  <c r="EA88" i="33"/>
  <c r="DY88" i="33"/>
  <c r="DX88" i="33"/>
  <c r="DW88" i="33"/>
  <c r="DV88" i="33"/>
  <c r="DU88" i="33"/>
  <c r="DS88" i="33"/>
  <c r="DQ88" i="33"/>
  <c r="DP88" i="33"/>
  <c r="DO88" i="33"/>
  <c r="DN88" i="33"/>
  <c r="DM88" i="33"/>
  <c r="DK88" i="33"/>
  <c r="DI88" i="33"/>
  <c r="DH88" i="33"/>
  <c r="DG88" i="33"/>
  <c r="DF88" i="33"/>
  <c r="DE88" i="33"/>
  <c r="EB88" i="33"/>
  <c r="CU88" i="33"/>
  <c r="CT88" i="33"/>
  <c r="CD88" i="33"/>
  <c r="BK88" i="33"/>
  <c r="CE88" i="33"/>
  <c r="AT152" i="33"/>
  <c r="EA87" i="33"/>
  <c r="DY87" i="33"/>
  <c r="DX87" i="33"/>
  <c r="DW87" i="33"/>
  <c r="DV87" i="33"/>
  <c r="DU87" i="33"/>
  <c r="DS87" i="33"/>
  <c r="DQ87" i="33"/>
  <c r="DP87" i="33"/>
  <c r="DO87" i="33"/>
  <c r="DN87" i="33"/>
  <c r="DM87" i="33"/>
  <c r="DK87" i="33"/>
  <c r="DI87" i="33"/>
  <c r="DH87" i="33"/>
  <c r="DG87" i="33"/>
  <c r="DF87" i="33"/>
  <c r="DE87" i="33"/>
  <c r="EB87" i="33"/>
  <c r="CE87" i="33"/>
  <c r="BK87" i="33"/>
  <c r="AV87" i="33"/>
  <c r="CU87" i="33"/>
  <c r="AT151" i="33"/>
  <c r="AT85" i="33"/>
  <c r="AT82" i="33"/>
  <c r="AT81" i="33"/>
  <c r="AT80" i="33"/>
  <c r="DC79" i="33"/>
  <c r="DC113" i="33" s="1"/>
  <c r="AT79" i="33"/>
  <c r="AT78" i="33"/>
  <c r="AT77" i="33"/>
  <c r="DC76" i="33"/>
  <c r="DC110" i="33" s="1"/>
  <c r="BZ76" i="33"/>
  <c r="BZ110" i="33" s="1"/>
  <c r="AT76" i="33"/>
  <c r="AT75" i="33"/>
  <c r="AT73" i="33"/>
  <c r="DC84" i="33"/>
  <c r="DC117" i="33" s="1"/>
  <c r="AT72" i="33"/>
  <c r="DC94" i="33"/>
  <c r="DC157" i="33" s="1"/>
  <c r="AT71" i="33"/>
  <c r="AT70" i="33"/>
  <c r="AT69" i="33"/>
  <c r="BZ79" i="33"/>
  <c r="BZ113" i="33" s="1"/>
  <c r="AT68" i="33"/>
  <c r="AT67" i="33"/>
  <c r="AT66" i="33"/>
  <c r="BZ99" i="33"/>
  <c r="AT65" i="33"/>
  <c r="AT64" i="33"/>
  <c r="DD62" i="33"/>
  <c r="CA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37" i="33"/>
  <c r="D36" i="33"/>
  <c r="D35" i="33"/>
  <c r="D34" i="33"/>
  <c r="D33" i="33"/>
  <c r="D31" i="33"/>
  <c r="D30" i="33"/>
  <c r="D29" i="33"/>
  <c r="D28" i="33"/>
  <c r="D27" i="33"/>
  <c r="D26" i="33"/>
  <c r="D22" i="33"/>
  <c r="D21" i="33"/>
  <c r="D20" i="33"/>
  <c r="D19" i="33"/>
  <c r="D18" i="33"/>
  <c r="D17" i="33"/>
  <c r="D16" i="33"/>
  <c r="D15" i="33"/>
  <c r="D14" i="33"/>
  <c r="D12" i="33"/>
  <c r="D8" i="33"/>
  <c r="D7" i="33"/>
  <c r="D6" i="33"/>
  <c r="D5" i="33"/>
  <c r="D4" i="33"/>
  <c r="D3" i="33"/>
  <c r="D2" i="33"/>
  <c r="D1" i="33"/>
  <c r="AM219" i="33"/>
  <c r="Z260" i="32"/>
  <c r="AA260" i="32" s="1"/>
  <c r="W272" i="32"/>
  <c r="AM216" i="33" s="1"/>
  <c r="AB206" i="32"/>
  <c r="AB205" i="32"/>
  <c r="AC205" i="32"/>
  <c r="AC197" i="32"/>
  <c r="AC189" i="32"/>
  <c r="AB181" i="32"/>
  <c r="AC181" i="32"/>
  <c r="AA177" i="32"/>
  <c r="C239" i="33"/>
  <c r="AC173" i="32"/>
  <c r="C80" i="33"/>
  <c r="J153" i="32"/>
  <c r="C226" i="33" s="1"/>
  <c r="J152" i="32"/>
  <c r="C225" i="33" s="1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Z133" i="32"/>
  <c r="AA133" i="32" s="1"/>
  <c r="AI132" i="32"/>
  <c r="J130" i="32"/>
  <c r="AI129" i="32"/>
  <c r="J129" i="32"/>
  <c r="Z135" i="32"/>
  <c r="AA135" i="32" s="1"/>
  <c r="V135" i="32"/>
  <c r="W135" i="32" s="1"/>
  <c r="AI126" i="32"/>
  <c r="J126" i="32"/>
  <c r="J125" i="32"/>
  <c r="J124" i="32"/>
  <c r="J123" i="32"/>
  <c r="M112" i="32"/>
  <c r="X107" i="32"/>
  <c r="AW107" i="32" s="1"/>
  <c r="X106" i="32"/>
  <c r="AY106" i="32" s="1"/>
  <c r="X105" i="32"/>
  <c r="X104" i="32"/>
  <c r="BG104" i="32" s="1"/>
  <c r="X103" i="32"/>
  <c r="AW103" i="32" s="1"/>
  <c r="X100" i="32"/>
  <c r="X99" i="32"/>
  <c r="X98" i="32"/>
  <c r="AY98" i="32" s="1"/>
  <c r="X97" i="32"/>
  <c r="AK97" i="32" s="1"/>
  <c r="X96" i="32"/>
  <c r="BS96" i="32" s="1"/>
  <c r="X93" i="32"/>
  <c r="BV93" i="32" s="1"/>
  <c r="X92" i="32"/>
  <c r="BL92" i="32" s="1"/>
  <c r="X91" i="32"/>
  <c r="AY91" i="32" s="1"/>
  <c r="X90" i="32"/>
  <c r="BV90" i="32" s="1"/>
  <c r="X89" i="32"/>
  <c r="AM89" i="32" s="1"/>
  <c r="EH78" i="32"/>
  <c r="DR78" i="32"/>
  <c r="CY78" i="32"/>
  <c r="CF78" i="32"/>
  <c r="BP78" i="32"/>
  <c r="AX78" i="32"/>
  <c r="AH78" i="32"/>
  <c r="DV77" i="32"/>
  <c r="DC77" i="32"/>
  <c r="CM77" i="32"/>
  <c r="BX77" i="32"/>
  <c r="BT77" i="32"/>
  <c r="BB77" i="32"/>
  <c r="AL77" i="32"/>
  <c r="DZ76" i="32"/>
  <c r="BX76" i="32"/>
  <c r="AP76" i="32"/>
  <c r="AG76" i="32"/>
  <c r="EH75" i="32"/>
  <c r="ED75" i="32"/>
  <c r="DN75" i="32"/>
  <c r="CY75" i="32"/>
  <c r="CB75" i="32"/>
  <c r="BL75" i="32"/>
  <c r="AT75" i="32"/>
  <c r="EH74" i="32"/>
  <c r="DR74" i="32"/>
  <c r="DC74" i="32"/>
  <c r="CY74" i="32"/>
  <c r="CF74" i="32"/>
  <c r="BP74" i="32"/>
  <c r="AX74" i="32"/>
  <c r="AL74" i="32"/>
  <c r="DZ73" i="32"/>
  <c r="DY73" i="32"/>
  <c r="CQ73" i="32"/>
  <c r="AP73" i="32"/>
  <c r="ED72" i="32"/>
  <c r="DN72" i="32"/>
  <c r="CU72" i="32"/>
  <c r="BL72" i="32"/>
  <c r="BK72" i="32"/>
  <c r="CY71" i="32"/>
  <c r="BP71" i="32"/>
  <c r="BO71" i="32"/>
  <c r="AX71" i="32"/>
  <c r="AG71" i="32"/>
  <c r="DC70" i="32"/>
  <c r="DB70" i="32"/>
  <c r="CM70" i="32"/>
  <c r="BS70" i="32"/>
  <c r="DZ69" i="32"/>
  <c r="DG69" i="32"/>
  <c r="DF69" i="32"/>
  <c r="CQ69" i="32"/>
  <c r="DC78" i="32"/>
  <c r="CM78" i="32"/>
  <c r="BT78" i="32"/>
  <c r="AG78" i="32"/>
  <c r="DG77" i="32"/>
  <c r="CQ77" i="32"/>
  <c r="BH66" i="32"/>
  <c r="BH77" i="32" s="1"/>
  <c r="AG77" i="32"/>
  <c r="CU76" i="32"/>
  <c r="CB76" i="32"/>
  <c r="BL76" i="32"/>
  <c r="DR75" i="32"/>
  <c r="BP75" i="32"/>
  <c r="BH64" i="32"/>
  <c r="BH75" i="32" s="1"/>
  <c r="AX75" i="32"/>
  <c r="AH75" i="32"/>
  <c r="AG75" i="32"/>
  <c r="DV74" i="32"/>
  <c r="CM74" i="32"/>
  <c r="BB74" i="32"/>
  <c r="AK74" i="32"/>
  <c r="AG74" i="32"/>
  <c r="EH73" i="32"/>
  <c r="EG73" i="32"/>
  <c r="DR73" i="32"/>
  <c r="DQ73" i="32"/>
  <c r="CF73" i="32"/>
  <c r="CE73" i="32"/>
  <c r="BP73" i="32"/>
  <c r="BO73" i="32"/>
  <c r="BH62" i="32"/>
  <c r="BH73" i="32" s="1"/>
  <c r="BE73" i="32"/>
  <c r="AX73" i="32"/>
  <c r="AW73" i="32"/>
  <c r="AO73" i="32"/>
  <c r="AH73" i="32"/>
  <c r="AG73" i="32"/>
  <c r="EC72" i="32"/>
  <c r="DV72" i="32"/>
  <c r="DU72" i="32"/>
  <c r="DM72" i="32"/>
  <c r="DC72" i="32"/>
  <c r="CM72" i="32"/>
  <c r="CB72" i="32"/>
  <c r="BS72" i="32"/>
  <c r="BB72" i="32"/>
  <c r="BA72" i="32"/>
  <c r="AG72" i="32"/>
  <c r="EH71" i="32"/>
  <c r="EG71" i="32"/>
  <c r="DZ71" i="32"/>
  <c r="DY71" i="32"/>
  <c r="DR71" i="32"/>
  <c r="DQ71" i="32"/>
  <c r="DG71" i="32"/>
  <c r="DF71" i="32"/>
  <c r="CX71" i="32"/>
  <c r="CQ71" i="32"/>
  <c r="CP71" i="32"/>
  <c r="CE71" i="32"/>
  <c r="BE71" i="32"/>
  <c r="AW71" i="32"/>
  <c r="CU70" i="32"/>
  <c r="CT70" i="32"/>
  <c r="CL70" i="32"/>
  <c r="CB70" i="32"/>
  <c r="BL70" i="32"/>
  <c r="BK70" i="32"/>
  <c r="AG70" i="32"/>
  <c r="EH69" i="32"/>
  <c r="EG69" i="32"/>
  <c r="DY69" i="32"/>
  <c r="DR69" i="32"/>
  <c r="DQ69" i="32"/>
  <c r="CY69" i="32"/>
  <c r="CX69" i="32"/>
  <c r="CP69" i="32"/>
  <c r="AG69" i="32"/>
  <c r="EJ78" i="32"/>
  <c r="EI78" i="32"/>
  <c r="EG78" i="32"/>
  <c r="EF78" i="32"/>
  <c r="EE78" i="32"/>
  <c r="ED78" i="32"/>
  <c r="EC78" i="32"/>
  <c r="EB78" i="32"/>
  <c r="EA78" i="32"/>
  <c r="DZ78" i="32"/>
  <c r="DY78" i="32"/>
  <c r="DX78" i="32"/>
  <c r="DW78" i="32"/>
  <c r="DV78" i="32"/>
  <c r="DU78" i="32"/>
  <c r="DT78" i="32"/>
  <c r="DS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DD78" i="32"/>
  <c r="DA78" i="32"/>
  <c r="CZ78" i="32"/>
  <c r="CX78" i="32"/>
  <c r="CW78" i="32"/>
  <c r="CV78" i="32"/>
  <c r="CU78" i="32"/>
  <c r="CS78" i="32"/>
  <c r="CR78" i="32"/>
  <c r="CQ78" i="32"/>
  <c r="CP78" i="32"/>
  <c r="CO78" i="32"/>
  <c r="CN78" i="32"/>
  <c r="CK78" i="32"/>
  <c r="CJ67" i="32"/>
  <c r="CJ78" i="32" s="1"/>
  <c r="CE78" i="32"/>
  <c r="CD78" i="32"/>
  <c r="CC78" i="32"/>
  <c r="BZ78" i="32"/>
  <c r="BY78" i="32"/>
  <c r="BX78" i="32"/>
  <c r="BW78" i="32"/>
  <c r="BV78" i="32"/>
  <c r="BU78" i="32"/>
  <c r="BR78" i="32"/>
  <c r="BQ78" i="32"/>
  <c r="BO78" i="32"/>
  <c r="BN78" i="32"/>
  <c r="BM78" i="32"/>
  <c r="BJ78" i="32"/>
  <c r="BI78" i="32"/>
  <c r="BH67" i="32"/>
  <c r="BH78" i="32" s="1"/>
  <c r="BE78" i="32"/>
  <c r="BD78" i="32"/>
  <c r="BC78" i="32"/>
  <c r="BB78" i="32"/>
  <c r="AZ78" i="32"/>
  <c r="AY78" i="32"/>
  <c r="AW78" i="32"/>
  <c r="AV78" i="32"/>
  <c r="AU78" i="32"/>
  <c r="AT78" i="32"/>
  <c r="AR78" i="32"/>
  <c r="AQ78" i="32"/>
  <c r="AP78" i="32"/>
  <c r="AO78" i="32"/>
  <c r="AN78" i="32"/>
  <c r="AM78" i="32"/>
  <c r="AL78" i="32"/>
  <c r="AJ78" i="32"/>
  <c r="AI78" i="32"/>
  <c r="EJ77" i="32"/>
  <c r="EI77" i="32"/>
  <c r="EH77" i="32"/>
  <c r="EF77" i="32"/>
  <c r="EE77" i="32"/>
  <c r="ED77" i="32"/>
  <c r="EC77" i="32"/>
  <c r="EB77" i="32"/>
  <c r="EA77" i="32"/>
  <c r="DZ77" i="32"/>
  <c r="DX77" i="32"/>
  <c r="DW77" i="32"/>
  <c r="DU77" i="32"/>
  <c r="DT77" i="32"/>
  <c r="DS77" i="32"/>
  <c r="DR77" i="32"/>
  <c r="DP77" i="32"/>
  <c r="DO77" i="32"/>
  <c r="DN77" i="32"/>
  <c r="DM77" i="32"/>
  <c r="DL66" i="32"/>
  <c r="DL77" i="32" s="1"/>
  <c r="DH77" i="32"/>
  <c r="DE77" i="32"/>
  <c r="DD77" i="32"/>
  <c r="DB77" i="32"/>
  <c r="DA77" i="32"/>
  <c r="CZ77" i="32"/>
  <c r="CY77" i="32"/>
  <c r="CW77" i="32"/>
  <c r="CV77" i="32"/>
  <c r="CU77" i="32"/>
  <c r="CT77" i="32"/>
  <c r="CS77" i="32"/>
  <c r="CR77" i="32"/>
  <c r="CO77" i="32"/>
  <c r="CN77" i="32"/>
  <c r="CL77" i="32"/>
  <c r="CK77" i="32"/>
  <c r="CJ66" i="32"/>
  <c r="CJ77" i="32" s="1"/>
  <c r="CF77" i="32"/>
  <c r="CD77" i="32"/>
  <c r="CC77" i="32"/>
  <c r="CB77" i="32"/>
  <c r="CA77" i="32"/>
  <c r="BZ77" i="32"/>
  <c r="BY77" i="32"/>
  <c r="BV77" i="32"/>
  <c r="BU77" i="32"/>
  <c r="BS77" i="32"/>
  <c r="BR77" i="32"/>
  <c r="BQ77" i="32"/>
  <c r="BP77" i="32"/>
  <c r="BN77" i="32"/>
  <c r="BM77" i="32"/>
  <c r="BL77" i="32"/>
  <c r="BK77" i="32"/>
  <c r="BJ77" i="32"/>
  <c r="BI77" i="32"/>
  <c r="BE77" i="32"/>
  <c r="BD77" i="32"/>
  <c r="BC77" i="32"/>
  <c r="BA77" i="32"/>
  <c r="AZ77" i="32"/>
  <c r="AY77" i="32"/>
  <c r="AX77" i="32"/>
  <c r="AW77" i="32"/>
  <c r="AV77" i="32"/>
  <c r="AU77" i="32"/>
  <c r="AT77" i="32"/>
  <c r="AS77" i="32"/>
  <c r="AR77" i="32"/>
  <c r="AQ77" i="32"/>
  <c r="AP77" i="32"/>
  <c r="AO77" i="32"/>
  <c r="AN77" i="32"/>
  <c r="AM77" i="32"/>
  <c r="AK77" i="32"/>
  <c r="AJ77" i="32"/>
  <c r="AI77" i="32"/>
  <c r="AH77" i="32"/>
  <c r="EJ76" i="32"/>
  <c r="EI76" i="32"/>
  <c r="EH76" i="32"/>
  <c r="EG76" i="32"/>
  <c r="EF76" i="32"/>
  <c r="EE76" i="32"/>
  <c r="ED76" i="32"/>
  <c r="EB76" i="32"/>
  <c r="EA76" i="32"/>
  <c r="DY76" i="32"/>
  <c r="DX76" i="32"/>
  <c r="DW76" i="32"/>
  <c r="DV76" i="32"/>
  <c r="DT76" i="32"/>
  <c r="DS76" i="32"/>
  <c r="DR76" i="32"/>
  <c r="DQ76" i="32"/>
  <c r="DP76" i="32"/>
  <c r="DO76" i="32"/>
  <c r="DN76" i="32"/>
  <c r="DL65" i="32"/>
  <c r="DL76" i="32" s="1"/>
  <c r="DH76" i="32"/>
  <c r="DG76" i="32"/>
  <c r="DF76" i="32"/>
  <c r="DE76" i="32"/>
  <c r="DD76" i="32"/>
  <c r="DC76" i="32"/>
  <c r="DA76" i="32"/>
  <c r="CZ76" i="32"/>
  <c r="CY76" i="32"/>
  <c r="CX76" i="32"/>
  <c r="CW76" i="32"/>
  <c r="CV76" i="32"/>
  <c r="CS76" i="32"/>
  <c r="CR76" i="32"/>
  <c r="CQ76" i="32"/>
  <c r="CP76" i="32"/>
  <c r="CO76" i="32"/>
  <c r="CN76" i="32"/>
  <c r="CM76" i="32"/>
  <c r="CK76" i="32"/>
  <c r="CJ65" i="32"/>
  <c r="CJ76" i="32" s="1"/>
  <c r="CF76" i="32"/>
  <c r="CE76" i="32"/>
  <c r="CD76" i="32"/>
  <c r="CC76" i="32"/>
  <c r="CA76" i="32"/>
  <c r="BZ76" i="32"/>
  <c r="BY76" i="32"/>
  <c r="BW76" i="32"/>
  <c r="BV76" i="32"/>
  <c r="BU76" i="32"/>
  <c r="BT76" i="32"/>
  <c r="BS76" i="32"/>
  <c r="BR76" i="32"/>
  <c r="BQ76" i="32"/>
  <c r="BP76" i="32"/>
  <c r="BO76" i="32"/>
  <c r="BN76" i="32"/>
  <c r="BM76" i="32"/>
  <c r="BK76" i="32"/>
  <c r="BJ76" i="32"/>
  <c r="BI76" i="32"/>
  <c r="BH65" i="32"/>
  <c r="BH76" i="32" s="1"/>
  <c r="BE76" i="32"/>
  <c r="BD76" i="32"/>
  <c r="BC76" i="32"/>
  <c r="BB76" i="32"/>
  <c r="AZ76" i="32"/>
  <c r="AY76" i="32"/>
  <c r="AX76" i="32"/>
  <c r="AW76" i="32"/>
  <c r="AV76" i="32"/>
  <c r="AU76" i="32"/>
  <c r="AT76" i="32"/>
  <c r="AR76" i="32"/>
  <c r="AQ76" i="32"/>
  <c r="AO76" i="32"/>
  <c r="AN76" i="32"/>
  <c r="AM76" i="32"/>
  <c r="AL76" i="32"/>
  <c r="AJ76" i="32"/>
  <c r="AI76" i="32"/>
  <c r="AH76" i="32"/>
  <c r="EJ75" i="32"/>
  <c r="EI75" i="32"/>
  <c r="EF75" i="32"/>
  <c r="EE75" i="32"/>
  <c r="EC75" i="32"/>
  <c r="EB75" i="32"/>
  <c r="EA75" i="32"/>
  <c r="DZ75" i="32"/>
  <c r="DX75" i="32"/>
  <c r="DW75" i="32"/>
  <c r="DV75" i="32"/>
  <c r="DU75" i="32"/>
  <c r="DT75" i="32"/>
  <c r="DS75" i="32"/>
  <c r="DP75" i="32"/>
  <c r="DO75" i="32"/>
  <c r="DM75" i="32"/>
  <c r="DL64" i="32"/>
  <c r="DL75" i="32" s="1"/>
  <c r="DH75" i="32"/>
  <c r="DG75" i="32"/>
  <c r="DE75" i="32"/>
  <c r="DD75" i="32"/>
  <c r="DC75" i="32"/>
  <c r="DB75" i="32"/>
  <c r="DA75" i="32"/>
  <c r="CZ75" i="32"/>
  <c r="CW75" i="32"/>
  <c r="CV75" i="32"/>
  <c r="CU75" i="32"/>
  <c r="CT75" i="32"/>
  <c r="CS75" i="32"/>
  <c r="CR75" i="32"/>
  <c r="CQ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A75" i="32"/>
  <c r="BZ75" i="32"/>
  <c r="BY75" i="32"/>
  <c r="BW75" i="32"/>
  <c r="BV75" i="32"/>
  <c r="BU75" i="32"/>
  <c r="BT75" i="32"/>
  <c r="BS75" i="32"/>
  <c r="BR75" i="32"/>
  <c r="BQ75" i="32"/>
  <c r="BO75" i="32"/>
  <c r="BN75" i="32"/>
  <c r="BM75" i="32"/>
  <c r="BK75" i="32"/>
  <c r="BJ75" i="32"/>
  <c r="BI75" i="32"/>
  <c r="BD75" i="32"/>
  <c r="BC75" i="32"/>
  <c r="BB75" i="32"/>
  <c r="BA75" i="32"/>
  <c r="AZ75" i="32"/>
  <c r="AY75" i="32"/>
  <c r="AV75" i="32"/>
  <c r="AU75" i="32"/>
  <c r="AS75" i="32"/>
  <c r="AR75" i="32"/>
  <c r="AQ75" i="32"/>
  <c r="AN75" i="32"/>
  <c r="AM75" i="32"/>
  <c r="AL75" i="32"/>
  <c r="AK75" i="32"/>
  <c r="AJ75" i="32"/>
  <c r="AI75" i="32"/>
  <c r="EJ74" i="32"/>
  <c r="EI74" i="32"/>
  <c r="EG74" i="32"/>
  <c r="EF74" i="32"/>
  <c r="EE74" i="32"/>
  <c r="EB74" i="32"/>
  <c r="EA74" i="32"/>
  <c r="DZ74" i="32"/>
  <c r="DY74" i="32"/>
  <c r="DX74" i="32"/>
  <c r="DW74" i="32"/>
  <c r="DT74" i="32"/>
  <c r="DS74" i="32"/>
  <c r="DQ74" i="32"/>
  <c r="DP74" i="32"/>
  <c r="DO74" i="32"/>
  <c r="DL63" i="32"/>
  <c r="DL74" i="32" s="1"/>
  <c r="DH74" i="32"/>
  <c r="DG74" i="32"/>
  <c r="DF74" i="32"/>
  <c r="DE74" i="32"/>
  <c r="DD74" i="32"/>
  <c r="DA74" i="32"/>
  <c r="CZ74" i="32"/>
  <c r="CX74" i="32"/>
  <c r="CW74" i="32"/>
  <c r="CV74" i="32"/>
  <c r="CU74" i="32"/>
  <c r="CS74" i="32"/>
  <c r="CR74" i="32"/>
  <c r="CQ74" i="32"/>
  <c r="CP74" i="32"/>
  <c r="CO74" i="32"/>
  <c r="CN74" i="32"/>
  <c r="CK74" i="32"/>
  <c r="CJ63" i="32"/>
  <c r="CJ74" i="32" s="1"/>
  <c r="CE74" i="32"/>
  <c r="CD74" i="32"/>
  <c r="CC74" i="32"/>
  <c r="CB74" i="32"/>
  <c r="BR74" i="32"/>
  <c r="BQ74" i="32"/>
  <c r="BO74" i="32"/>
  <c r="BN74" i="32"/>
  <c r="BM74" i="32"/>
  <c r="BL74" i="32"/>
  <c r="BJ74" i="32"/>
  <c r="BI74" i="32"/>
  <c r="BH63" i="32"/>
  <c r="BH74" i="32" s="1"/>
  <c r="BE74" i="32"/>
  <c r="BD74" i="32"/>
  <c r="BC74" i="32"/>
  <c r="AZ74" i="32"/>
  <c r="AY74" i="32"/>
  <c r="AW74" i="32"/>
  <c r="AV74" i="32"/>
  <c r="AU74" i="32"/>
  <c r="AT74" i="32"/>
  <c r="AR74" i="32"/>
  <c r="AQ74" i="32"/>
  <c r="AP74" i="32"/>
  <c r="AO74" i="32"/>
  <c r="AN74" i="32"/>
  <c r="AM74" i="32"/>
  <c r="AJ74" i="32"/>
  <c r="AI74" i="32"/>
  <c r="AH74" i="32"/>
  <c r="I218" i="33"/>
  <c r="EJ73" i="32"/>
  <c r="EI73" i="32"/>
  <c r="EF73" i="32"/>
  <c r="EE73" i="32"/>
  <c r="ED73" i="32"/>
  <c r="EC73" i="32"/>
  <c r="EB73" i="32"/>
  <c r="EA73" i="32"/>
  <c r="DX73" i="32"/>
  <c r="DW73" i="32"/>
  <c r="DV73" i="32"/>
  <c r="DU73" i="32"/>
  <c r="DT73" i="32"/>
  <c r="DS73" i="32"/>
  <c r="DP73" i="32"/>
  <c r="DO73" i="32"/>
  <c r="DN73" i="32"/>
  <c r="DM73" i="32"/>
  <c r="DL62" i="32"/>
  <c r="DL73" i="32" s="1"/>
  <c r="DH73" i="32"/>
  <c r="DG73" i="32"/>
  <c r="DF73" i="32"/>
  <c r="DE73" i="32"/>
  <c r="DD73" i="32"/>
  <c r="DC73" i="32"/>
  <c r="DB73" i="32"/>
  <c r="DA73" i="32"/>
  <c r="CZ73" i="32"/>
  <c r="CY73" i="32"/>
  <c r="CX73" i="32"/>
  <c r="CW73" i="32"/>
  <c r="CV73" i="32"/>
  <c r="CU73" i="32"/>
  <c r="CT73" i="32"/>
  <c r="CR73" i="32"/>
  <c r="CO73" i="32"/>
  <c r="CN73" i="32"/>
  <c r="CM73" i="32"/>
  <c r="CL73" i="32"/>
  <c r="CK73" i="32"/>
  <c r="CJ62" i="32"/>
  <c r="CJ73" i="32" s="1"/>
  <c r="CD73" i="32"/>
  <c r="CB73" i="32"/>
  <c r="BS73" i="32"/>
  <c r="BR73" i="32"/>
  <c r="BQ73" i="32"/>
  <c r="BN73" i="32"/>
  <c r="BM73" i="32"/>
  <c r="BL73" i="32"/>
  <c r="BK73" i="32"/>
  <c r="BJ73" i="32"/>
  <c r="BI73" i="32"/>
  <c r="BD73" i="32"/>
  <c r="BC73" i="32"/>
  <c r="BB73" i="32"/>
  <c r="BA73" i="32"/>
  <c r="AZ73" i="32"/>
  <c r="AY73" i="32"/>
  <c r="AV73" i="32"/>
  <c r="AU73" i="32"/>
  <c r="AT73" i="32"/>
  <c r="AS73" i="32"/>
  <c r="AR73" i="32"/>
  <c r="AQ73" i="32"/>
  <c r="AN73" i="32"/>
  <c r="AM73" i="32"/>
  <c r="AL73" i="32"/>
  <c r="AK73" i="32"/>
  <c r="AJ73" i="32"/>
  <c r="AI73" i="32"/>
  <c r="EJ72" i="32"/>
  <c r="EI72" i="32"/>
  <c r="EH72" i="32"/>
  <c r="EG72" i="32"/>
  <c r="EF72" i="32"/>
  <c r="EE72" i="32"/>
  <c r="EB72" i="32"/>
  <c r="EA72" i="32"/>
  <c r="DZ72" i="32"/>
  <c r="DY72" i="32"/>
  <c r="DX72" i="32"/>
  <c r="DW72" i="32"/>
  <c r="DT72" i="32"/>
  <c r="DS72" i="32"/>
  <c r="DR72" i="32"/>
  <c r="DQ72" i="32"/>
  <c r="DP72" i="32"/>
  <c r="DO72" i="32"/>
  <c r="DL61" i="32"/>
  <c r="DL72" i="32" s="1"/>
  <c r="DH72" i="32"/>
  <c r="DG72" i="32"/>
  <c r="DF72" i="32"/>
  <c r="DE72" i="32"/>
  <c r="DD72" i="32"/>
  <c r="DB72" i="32"/>
  <c r="DA72" i="32"/>
  <c r="CZ72" i="32"/>
  <c r="CY72" i="32"/>
  <c r="CX72" i="32"/>
  <c r="CW72" i="32"/>
  <c r="CV72" i="32"/>
  <c r="CT72" i="32"/>
  <c r="CR72" i="32"/>
  <c r="CQ72" i="32"/>
  <c r="CP72" i="32"/>
  <c r="CO72" i="32"/>
  <c r="CN72" i="32"/>
  <c r="CL72" i="32"/>
  <c r="CK72" i="32"/>
  <c r="CJ61" i="32"/>
  <c r="CJ72" i="32" s="1"/>
  <c r="CF72" i="32"/>
  <c r="CE72" i="32"/>
  <c r="CD72" i="32"/>
  <c r="BQ72" i="32"/>
  <c r="BP72" i="32"/>
  <c r="BO72" i="32"/>
  <c r="BN72" i="32"/>
  <c r="BM72" i="32"/>
  <c r="BH61" i="32"/>
  <c r="BH72" i="32" s="1"/>
  <c r="BE72" i="32"/>
  <c r="BD72" i="32"/>
  <c r="BC72" i="32"/>
  <c r="AZ72" i="32"/>
  <c r="AY72" i="32"/>
  <c r="AX72" i="32"/>
  <c r="AW72" i="32"/>
  <c r="AV72" i="32"/>
  <c r="I216" i="33"/>
  <c r="EJ71" i="32"/>
  <c r="EI71" i="32"/>
  <c r="EF71" i="32"/>
  <c r="EE71" i="32"/>
  <c r="ED71" i="32"/>
  <c r="EC71" i="32"/>
  <c r="EB71" i="32"/>
  <c r="EA71" i="32"/>
  <c r="DX71" i="32"/>
  <c r="DW71" i="32"/>
  <c r="DV71" i="32"/>
  <c r="DU71" i="32"/>
  <c r="DT71" i="32"/>
  <c r="DS71" i="32"/>
  <c r="DP71" i="32"/>
  <c r="DO71" i="32"/>
  <c r="DN71" i="32"/>
  <c r="DM71" i="32"/>
  <c r="DL60" i="32"/>
  <c r="DL71" i="32" s="1"/>
  <c r="DH71" i="32"/>
  <c r="DE71" i="32"/>
  <c r="DD71" i="32"/>
  <c r="DC71" i="32"/>
  <c r="DB71" i="32"/>
  <c r="DA71" i="32"/>
  <c r="CZ71" i="32"/>
  <c r="CW71" i="32"/>
  <c r="CV71" i="32"/>
  <c r="CU71" i="32"/>
  <c r="CT71" i="32"/>
  <c r="CR71" i="32"/>
  <c r="CO71" i="32"/>
  <c r="CN71" i="32"/>
  <c r="CM71" i="32"/>
  <c r="CL71" i="32"/>
  <c r="CF71" i="32"/>
  <c r="CD71" i="32"/>
  <c r="CC71" i="32"/>
  <c r="CB71" i="32"/>
  <c r="BS71" i="32"/>
  <c r="BQ71" i="32"/>
  <c r="BN71" i="32"/>
  <c r="BM71" i="32"/>
  <c r="BL71" i="32"/>
  <c r="BK71" i="32"/>
  <c r="BI71" i="32"/>
  <c r="BH60" i="32"/>
  <c r="BH71" i="32" s="1"/>
  <c r="BD71" i="32"/>
  <c r="BC71" i="32"/>
  <c r="BB71" i="32"/>
  <c r="BA71" i="32"/>
  <c r="AY71" i="32"/>
  <c r="AV71" i="32"/>
  <c r="EJ70" i="32"/>
  <c r="EI70" i="32"/>
  <c r="EH70" i="32"/>
  <c r="EG70" i="32"/>
  <c r="EF70" i="32"/>
  <c r="EE70" i="32"/>
  <c r="ED70" i="32"/>
  <c r="EC70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DD70" i="32"/>
  <c r="DA70" i="32"/>
  <c r="CZ70" i="32"/>
  <c r="CY70" i="32"/>
  <c r="CX70" i="32"/>
  <c r="CW70" i="32"/>
  <c r="CV70" i="32"/>
  <c r="CR70" i="32"/>
  <c r="CQ70" i="32"/>
  <c r="CP70" i="32"/>
  <c r="CO70" i="32"/>
  <c r="CN70" i="32"/>
  <c r="CJ59" i="32"/>
  <c r="CJ70" i="32" s="1"/>
  <c r="CF70" i="32"/>
  <c r="CE70" i="32"/>
  <c r="CD70" i="32"/>
  <c r="BO70" i="32"/>
  <c r="BN70" i="32"/>
  <c r="BM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EJ69" i="32"/>
  <c r="EI69" i="32"/>
  <c r="EF69" i="32"/>
  <c r="EE69" i="32"/>
  <c r="ED69" i="32"/>
  <c r="EC69" i="32"/>
  <c r="EB69" i="32"/>
  <c r="EA69" i="32"/>
  <c r="DX69" i="32"/>
  <c r="DW69" i="32"/>
  <c r="DV69" i="32"/>
  <c r="DU69" i="32"/>
  <c r="DT69" i="32"/>
  <c r="DS69" i="32"/>
  <c r="DP69" i="32"/>
  <c r="DO69" i="32"/>
  <c r="DN69" i="32"/>
  <c r="DM69" i="32"/>
  <c r="DL58" i="32"/>
  <c r="DL69" i="32" s="1"/>
  <c r="DH69" i="32"/>
  <c r="DE69" i="32"/>
  <c r="DD69" i="32"/>
  <c r="DC69" i="32"/>
  <c r="DB69" i="32"/>
  <c r="DA69" i="32"/>
  <c r="CZ69" i="32"/>
  <c r="CW69" i="32"/>
  <c r="CV69" i="32"/>
  <c r="CU69" i="32"/>
  <c r="CT69" i="32"/>
  <c r="CS69" i="32"/>
  <c r="CR69" i="32"/>
  <c r="CO69" i="32"/>
  <c r="CN69" i="32"/>
  <c r="CM69" i="32"/>
  <c r="CL69" i="32"/>
  <c r="CK69" i="32"/>
  <c r="CJ58" i="32"/>
  <c r="CJ69" i="32" s="1"/>
  <c r="V38" i="32"/>
  <c r="V29" i="32"/>
  <c r="AG34" i="32" s="1"/>
  <c r="AH34" i="32" s="1"/>
  <c r="AI34" i="32" s="1"/>
  <c r="C6" i="32"/>
  <c r="D5" i="32"/>
  <c r="M5" i="32" s="1"/>
  <c r="C5" i="32"/>
  <c r="H4" i="32"/>
  <c r="H6" i="32"/>
  <c r="G6" i="32"/>
  <c r="L6" i="32" s="1"/>
  <c r="F4" i="32"/>
  <c r="B111" i="31"/>
  <c r="B105" i="31"/>
  <c r="B104" i="31"/>
  <c r="CO97" i="31"/>
  <c r="DF96" i="31"/>
  <c r="BI94" i="31"/>
  <c r="CB93" i="31"/>
  <c r="CO92" i="31"/>
  <c r="DF91" i="31"/>
  <c r="DS90" i="31"/>
  <c r="C280" i="33"/>
  <c r="D280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57" i="31"/>
  <c r="AT69" i="31" s="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AT56" i="31"/>
  <c r="AT68" i="31" s="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AT55" i="31"/>
  <c r="AT67" i="31" s="1"/>
  <c r="AT54" i="31"/>
  <c r="AT66" i="31" s="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AT53" i="31"/>
  <c r="AT65" i="31" s="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AT52" i="31"/>
  <c r="AT64" i="31" s="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R93" i="31"/>
  <c r="CQ93" i="31"/>
  <c r="CP93" i="31"/>
  <c r="CO93" i="31"/>
  <c r="CN93" i="31"/>
  <c r="CM93" i="31"/>
  <c r="CJ93" i="31"/>
  <c r="CI93" i="31"/>
  <c r="CH93" i="31"/>
  <c r="CG93" i="31"/>
  <c r="CF93" i="31"/>
  <c r="CE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X93" i="31"/>
  <c r="AW93" i="31"/>
  <c r="AV93" i="31"/>
  <c r="AT51" i="31"/>
  <c r="AT63" i="31" s="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R92" i="31"/>
  <c r="CQ92" i="31"/>
  <c r="CP92" i="31"/>
  <c r="CN92" i="31"/>
  <c r="CM92" i="31"/>
  <c r="CJ92" i="31"/>
  <c r="CI92" i="31"/>
  <c r="CH92" i="31"/>
  <c r="CG92" i="31"/>
  <c r="CF92" i="31"/>
  <c r="CE92" i="31"/>
  <c r="CB92" i="31"/>
  <c r="BS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AT50" i="31"/>
  <c r="AT62" i="31" s="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E91" i="31"/>
  <c r="CX91" i="31"/>
  <c r="CW91" i="31"/>
  <c r="CV91" i="31"/>
  <c r="CU91" i="31"/>
  <c r="CR91" i="31"/>
  <c r="CQ91" i="31"/>
  <c r="CP91" i="31"/>
  <c r="CO91" i="31"/>
  <c r="CN91" i="31"/>
  <c r="CM91" i="31"/>
  <c r="CJ91" i="31"/>
  <c r="CI91" i="31"/>
  <c r="CH91" i="31"/>
  <c r="CG91" i="31"/>
  <c r="CF91" i="31"/>
  <c r="CE91" i="31"/>
  <c r="BS91" i="31"/>
  <c r="BR91" i="31"/>
  <c r="BQ91" i="31"/>
  <c r="BP91" i="31"/>
  <c r="BO91" i="31"/>
  <c r="BN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AT49" i="31"/>
  <c r="AT61" i="31" s="1"/>
  <c r="EB90" i="31"/>
  <c r="EA90" i="31"/>
  <c r="DZ90" i="31"/>
  <c r="DY90" i="31"/>
  <c r="DX90" i="31"/>
  <c r="DW90" i="31"/>
  <c r="DV90" i="31"/>
  <c r="DU90" i="31"/>
  <c r="DT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Q90" i="31"/>
  <c r="CP90" i="31"/>
  <c r="CO90" i="31"/>
  <c r="CN90" i="31"/>
  <c r="CM90" i="31"/>
  <c r="CI90" i="31"/>
  <c r="CH90" i="31"/>
  <c r="CG90" i="31"/>
  <c r="CF90" i="31"/>
  <c r="CE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T48" i="31"/>
  <c r="AT60" i="31" s="1"/>
  <c r="EA35" i="31"/>
  <c r="DZ35" i="31"/>
  <c r="DX35" i="31"/>
  <c r="DU35" i="31"/>
  <c r="DS35" i="31"/>
  <c r="DR35" i="31"/>
  <c r="DP35" i="31"/>
  <c r="DM35" i="31"/>
  <c r="DK35" i="31"/>
  <c r="DJ35" i="31"/>
  <c r="DH35" i="31"/>
  <c r="DE35" i="31"/>
  <c r="DV35" i="31"/>
  <c r="CW35" i="31"/>
  <c r="CT35" i="31"/>
  <c r="CR35" i="31"/>
  <c r="CO35" i="31"/>
  <c r="CL35" i="31"/>
  <c r="CJ35" i="31"/>
  <c r="CG35" i="31"/>
  <c r="CD35" i="31"/>
  <c r="CB35" i="31"/>
  <c r="CU35" i="31"/>
  <c r="BK35" i="31"/>
  <c r="AT98" i="31"/>
  <c r="DZ34" i="31"/>
  <c r="DY34" i="31"/>
  <c r="DW34" i="31"/>
  <c r="DU34" i="31"/>
  <c r="DR34" i="31"/>
  <c r="DQ34" i="31"/>
  <c r="DO34" i="31"/>
  <c r="DM34" i="31"/>
  <c r="DJ34" i="31"/>
  <c r="DI34" i="31"/>
  <c r="DG34" i="31"/>
  <c r="DE34" i="31"/>
  <c r="DX34" i="31"/>
  <c r="BR34" i="31"/>
  <c r="BP34" i="31"/>
  <c r="BM34" i="31"/>
  <c r="BJ34" i="31"/>
  <c r="BH34" i="31"/>
  <c r="BE34" i="31"/>
  <c r="BB34" i="31"/>
  <c r="AZ34" i="31"/>
  <c r="AW34" i="31"/>
  <c r="BS34" i="31"/>
  <c r="AT97" i="31"/>
  <c r="EA33" i="31"/>
  <c r="DX33" i="31"/>
  <c r="DU33" i="31"/>
  <c r="DS33" i="31"/>
  <c r="DP33" i="31"/>
  <c r="DM33" i="31"/>
  <c r="DK33" i="31"/>
  <c r="DH33" i="31"/>
  <c r="DE33" i="31"/>
  <c r="DV33" i="31"/>
  <c r="CW33" i="31"/>
  <c r="CT33" i="31"/>
  <c r="CR33" i="31"/>
  <c r="CO33" i="31"/>
  <c r="CL33" i="31"/>
  <c r="CJ33" i="31"/>
  <c r="CG33" i="31"/>
  <c r="CD33" i="31"/>
  <c r="CB33" i="31"/>
  <c r="CU33" i="31"/>
  <c r="AT96" i="31"/>
  <c r="DY32" i="31"/>
  <c r="DV32" i="31"/>
  <c r="DQ32" i="31"/>
  <c r="DN32" i="31"/>
  <c r="DI32" i="31"/>
  <c r="DF32" i="31"/>
  <c r="DW32" i="31"/>
  <c r="CX32" i="31"/>
  <c r="CU32" i="31"/>
  <c r="CS32" i="31"/>
  <c r="CP32" i="31"/>
  <c r="CM32" i="31"/>
  <c r="CK32" i="31"/>
  <c r="CH32" i="31"/>
  <c r="CE32" i="31"/>
  <c r="CC32" i="31"/>
  <c r="CV32" i="31"/>
  <c r="BZ32" i="31"/>
  <c r="BQ32" i="31"/>
  <c r="BO32" i="31"/>
  <c r="BL32" i="31"/>
  <c r="BI32" i="31"/>
  <c r="BG32" i="31"/>
  <c r="BD32" i="31"/>
  <c r="BA32" i="31"/>
  <c r="AY32" i="31"/>
  <c r="AV32" i="31"/>
  <c r="BR32" i="31"/>
  <c r="DZ31" i="31"/>
  <c r="DW31" i="31"/>
  <c r="DU31" i="31"/>
  <c r="DR31" i="31"/>
  <c r="DO31" i="31"/>
  <c r="DM31" i="31"/>
  <c r="DJ31" i="31"/>
  <c r="DG31" i="31"/>
  <c r="DE31" i="31"/>
  <c r="DX31" i="31"/>
  <c r="CQ31" i="31"/>
  <c r="CI31" i="31"/>
  <c r="BR31" i="31"/>
  <c r="BP31" i="31"/>
  <c r="BM31" i="31"/>
  <c r="BJ31" i="31"/>
  <c r="BH31" i="31"/>
  <c r="BE31" i="31"/>
  <c r="BB31" i="31"/>
  <c r="AZ31" i="31"/>
  <c r="AW31" i="31"/>
  <c r="BS31" i="31"/>
  <c r="AT95" i="31"/>
  <c r="EA30" i="31"/>
  <c r="DX30" i="31"/>
  <c r="DV30" i="31"/>
  <c r="DS30" i="31"/>
  <c r="DP30" i="31"/>
  <c r="DN30" i="31"/>
  <c r="DK30" i="31"/>
  <c r="DH30" i="31"/>
  <c r="DF30" i="31"/>
  <c r="DY30" i="31"/>
  <c r="DC30" i="31"/>
  <c r="DC94" i="31" s="1"/>
  <c r="CW30" i="31"/>
  <c r="CU30" i="31"/>
  <c r="CR30" i="31"/>
  <c r="CO30" i="31"/>
  <c r="CM30" i="31"/>
  <c r="CJ30" i="31"/>
  <c r="CG30" i="31"/>
  <c r="CE30" i="31"/>
  <c r="CB30" i="31"/>
  <c r="CX30" i="31"/>
  <c r="BN30" i="31"/>
  <c r="BF30" i="31"/>
  <c r="AX30" i="31"/>
  <c r="BL30" i="31"/>
  <c r="AT94" i="31"/>
  <c r="DY29" i="31"/>
  <c r="DQ29" i="31"/>
  <c r="DI29" i="31"/>
  <c r="DF29" i="31"/>
  <c r="DW29" i="31"/>
  <c r="CX29" i="31"/>
  <c r="CU29" i="31"/>
  <c r="CT29" i="31"/>
  <c r="CS29" i="31"/>
  <c r="CP29" i="31"/>
  <c r="CM29" i="31"/>
  <c r="CL29" i="31"/>
  <c r="CK29" i="31"/>
  <c r="CH29" i="31"/>
  <c r="CE29" i="31"/>
  <c r="CD29" i="31"/>
  <c r="CC29" i="31"/>
  <c r="CV29" i="31"/>
  <c r="BQ29" i="31"/>
  <c r="BP29" i="31"/>
  <c r="BO29" i="31"/>
  <c r="BL29" i="31"/>
  <c r="BI29" i="31"/>
  <c r="BH29" i="31"/>
  <c r="BG29" i="31"/>
  <c r="BE29" i="31"/>
  <c r="BD29" i="31"/>
  <c r="BA29" i="31"/>
  <c r="AZ29" i="31"/>
  <c r="AY29" i="31"/>
  <c r="AW29" i="31"/>
  <c r="AV29" i="31"/>
  <c r="BR29" i="31"/>
  <c r="AT93" i="31"/>
  <c r="DW28" i="31"/>
  <c r="DO28" i="31"/>
  <c r="DG28" i="31"/>
  <c r="DU28" i="31"/>
  <c r="CV28" i="31"/>
  <c r="CN28" i="31"/>
  <c r="CF28" i="31"/>
  <c r="CT28" i="31"/>
  <c r="BR28" i="31"/>
  <c r="BO28" i="31"/>
  <c r="BM28" i="31"/>
  <c r="BJ28" i="31"/>
  <c r="BG28" i="31"/>
  <c r="BE28" i="31"/>
  <c r="BB28" i="31"/>
  <c r="AY28" i="31"/>
  <c r="AW28" i="31"/>
  <c r="BP28" i="31"/>
  <c r="DZ27" i="31"/>
  <c r="DX27" i="31"/>
  <c r="DU27" i="31"/>
  <c r="DR27" i="31"/>
  <c r="DP27" i="31"/>
  <c r="DM27" i="31"/>
  <c r="DJ27" i="31"/>
  <c r="DH27" i="31"/>
  <c r="DE27" i="31"/>
  <c r="EA27" i="31"/>
  <c r="CT27" i="31"/>
  <c r="CL27" i="31"/>
  <c r="CD27" i="31"/>
  <c r="CR27" i="31"/>
  <c r="BP27" i="31"/>
  <c r="BH27" i="31"/>
  <c r="AZ27" i="31"/>
  <c r="BN27" i="31"/>
  <c r="AT91" i="31"/>
  <c r="EA26" i="31"/>
  <c r="DX26" i="31"/>
  <c r="DV26" i="31"/>
  <c r="DU26" i="31"/>
  <c r="DS26" i="31"/>
  <c r="DP26" i="31"/>
  <c r="DN26" i="31"/>
  <c r="DM26" i="31"/>
  <c r="DK26" i="31"/>
  <c r="DH26" i="31"/>
  <c r="DF26" i="31"/>
  <c r="DE26" i="31"/>
  <c r="DY26" i="31"/>
  <c r="DC26" i="31"/>
  <c r="DC90" i="31" s="1"/>
  <c r="CJ26" i="31"/>
  <c r="BN26" i="31"/>
  <c r="BF26" i="31"/>
  <c r="AX26" i="31"/>
  <c r="BL26" i="31"/>
  <c r="AT90" i="31"/>
  <c r="DY24" i="31"/>
  <c r="DQ24" i="31"/>
  <c r="DI24" i="31"/>
  <c r="CW24" i="31"/>
  <c r="CO24" i="31"/>
  <c r="CG24" i="31"/>
  <c r="BR24" i="31"/>
  <c r="BJ24" i="31"/>
  <c r="BB24" i="31"/>
  <c r="AT24" i="31"/>
  <c r="EB23" i="31"/>
  <c r="DT23" i="31"/>
  <c r="DL23" i="31"/>
  <c r="DC23" i="31"/>
  <c r="DC56" i="31" s="1"/>
  <c r="CR23" i="31"/>
  <c r="CJ23" i="31"/>
  <c r="CB23" i="31"/>
  <c r="BM23" i="31"/>
  <c r="BE23" i="31"/>
  <c r="AW23" i="31"/>
  <c r="AT23" i="31"/>
  <c r="DW22" i="31"/>
  <c r="DO22" i="31"/>
  <c r="DG22" i="31"/>
  <c r="CU22" i="31"/>
  <c r="CM22" i="31"/>
  <c r="CE22" i="31"/>
  <c r="BP22" i="31"/>
  <c r="BH22" i="31"/>
  <c r="AZ22" i="31"/>
  <c r="AT22" i="31"/>
  <c r="F22" i="31"/>
  <c r="C256" i="33" s="1"/>
  <c r="DU21" i="31"/>
  <c r="DM21" i="31"/>
  <c r="DE21" i="31"/>
  <c r="CS21" i="31"/>
  <c r="CK21" i="31"/>
  <c r="CC21" i="31"/>
  <c r="BN21" i="31"/>
  <c r="BF21" i="31"/>
  <c r="AX21" i="31"/>
  <c r="AT21" i="31"/>
  <c r="F21" i="31"/>
  <c r="C255" i="33" s="1"/>
  <c r="EA20" i="31"/>
  <c r="DS20" i="31"/>
  <c r="DK20" i="31"/>
  <c r="CY20" i="31"/>
  <c r="CQ20" i="31"/>
  <c r="CI20" i="31"/>
  <c r="BZ20" i="31"/>
  <c r="BZ53" i="31" s="1"/>
  <c r="BL20" i="31"/>
  <c r="BD20" i="31"/>
  <c r="AV20" i="31"/>
  <c r="AT20" i="31"/>
  <c r="F20" i="31"/>
  <c r="C254" i="33" s="1"/>
  <c r="DY19" i="31"/>
  <c r="DQ19" i="31"/>
  <c r="DI19" i="31"/>
  <c r="CW19" i="31"/>
  <c r="CO19" i="31"/>
  <c r="CG19" i="31"/>
  <c r="BR19" i="31"/>
  <c r="BJ19" i="31"/>
  <c r="BB19" i="31"/>
  <c r="AT19" i="31"/>
  <c r="EB18" i="31"/>
  <c r="DT18" i="31"/>
  <c r="DL18" i="31"/>
  <c r="DC18" i="31"/>
  <c r="DC51" i="31" s="1"/>
  <c r="CR18" i="31"/>
  <c r="CJ18" i="31"/>
  <c r="CB18" i="31"/>
  <c r="BM18" i="31"/>
  <c r="BE18" i="31"/>
  <c r="AW18" i="31"/>
  <c r="AT18" i="31"/>
  <c r="F18" i="31"/>
  <c r="EB17" i="31"/>
  <c r="DT17" i="31"/>
  <c r="DL17" i="31"/>
  <c r="DC17" i="31"/>
  <c r="DC50" i="31" s="1"/>
  <c r="BM17" i="31"/>
  <c r="BE17" i="31"/>
  <c r="AW17" i="31"/>
  <c r="F17" i="31"/>
  <c r="EB16" i="31"/>
  <c r="DT16" i="31"/>
  <c r="DL16" i="31"/>
  <c r="DC16" i="31"/>
  <c r="DC49" i="31" s="1"/>
  <c r="BM16" i="31"/>
  <c r="BE16" i="31"/>
  <c r="AW16" i="31"/>
  <c r="AT16" i="31"/>
  <c r="EB15" i="31"/>
  <c r="DT15" i="31"/>
  <c r="DL15" i="31"/>
  <c r="DC15" i="31"/>
  <c r="DC48" i="31" s="1"/>
  <c r="BM15" i="31"/>
  <c r="BE15" i="31"/>
  <c r="AW15" i="31"/>
  <c r="AT15" i="31"/>
  <c r="EB24" i="31"/>
  <c r="EA24" i="31"/>
  <c r="DZ24" i="31"/>
  <c r="DZ69" i="31" s="1"/>
  <c r="DX24" i="31"/>
  <c r="DW24" i="31"/>
  <c r="DV24" i="31"/>
  <c r="DU24" i="31"/>
  <c r="DU80" i="31" s="1"/>
  <c r="DT24" i="31"/>
  <c r="DS24" i="31"/>
  <c r="DR24" i="31"/>
  <c r="DP24" i="31"/>
  <c r="DO24" i="31"/>
  <c r="DN24" i="31"/>
  <c r="DM24" i="31"/>
  <c r="DL24" i="31"/>
  <c r="DK24" i="31"/>
  <c r="DJ24" i="31"/>
  <c r="DH24" i="31"/>
  <c r="DG24" i="31"/>
  <c r="DF24" i="31"/>
  <c r="DE24" i="31"/>
  <c r="DC69" i="31"/>
  <c r="CY24" i="31"/>
  <c r="CX24" i="31"/>
  <c r="CV24" i="31"/>
  <c r="CU24" i="31"/>
  <c r="CT24" i="31"/>
  <c r="CS24" i="31"/>
  <c r="CR24" i="31"/>
  <c r="CQ24" i="31"/>
  <c r="CP24" i="31"/>
  <c r="CN24" i="31"/>
  <c r="CM24" i="31"/>
  <c r="CL24" i="31"/>
  <c r="CK24" i="31"/>
  <c r="CJ24" i="31"/>
  <c r="CI24" i="31"/>
  <c r="CH24" i="31"/>
  <c r="CF24" i="31"/>
  <c r="CE24" i="31"/>
  <c r="CD24" i="31"/>
  <c r="CC24" i="31"/>
  <c r="CB24" i="31"/>
  <c r="BZ69" i="31"/>
  <c r="BS24" i="31"/>
  <c r="BQ24" i="31"/>
  <c r="BP24" i="31"/>
  <c r="BO24" i="31"/>
  <c r="BN24" i="31"/>
  <c r="BM24" i="31"/>
  <c r="BL24" i="31"/>
  <c r="BK24" i="31"/>
  <c r="BI24" i="31"/>
  <c r="BH24" i="31"/>
  <c r="BG24" i="31"/>
  <c r="BF24" i="31"/>
  <c r="BE24" i="31"/>
  <c r="BD24" i="31"/>
  <c r="BC24" i="31"/>
  <c r="BC69" i="31" s="1"/>
  <c r="BC115" i="31" s="1"/>
  <c r="BA24" i="31"/>
  <c r="AZ24" i="31"/>
  <c r="AY24" i="31"/>
  <c r="AX24" i="31"/>
  <c r="AX80" i="31" s="1"/>
  <c r="AW24" i="31"/>
  <c r="AV24" i="31"/>
  <c r="AT13" i="31"/>
  <c r="EA23" i="31"/>
  <c r="DZ23" i="31"/>
  <c r="DY23" i="31"/>
  <c r="DX23" i="31"/>
  <c r="DW23" i="31"/>
  <c r="DV23" i="31"/>
  <c r="DU23" i="31"/>
  <c r="DS23" i="31"/>
  <c r="DR23" i="31"/>
  <c r="DQ23" i="31"/>
  <c r="DP23" i="31"/>
  <c r="DO23" i="31"/>
  <c r="DN23" i="31"/>
  <c r="DM23" i="31"/>
  <c r="DK23" i="31"/>
  <c r="DJ23" i="31"/>
  <c r="DI23" i="31"/>
  <c r="DH23" i="31"/>
  <c r="DG23" i="31"/>
  <c r="DF23" i="31"/>
  <c r="DE23" i="31"/>
  <c r="DC68" i="31"/>
  <c r="CY23" i="31"/>
  <c r="CX23" i="31"/>
  <c r="CW23" i="31"/>
  <c r="CV23" i="31"/>
  <c r="CU23" i="31"/>
  <c r="CT23" i="31"/>
  <c r="CS23" i="31"/>
  <c r="CQ23" i="31"/>
  <c r="CP23" i="31"/>
  <c r="CO23" i="31"/>
  <c r="CN23" i="31"/>
  <c r="CM23" i="31"/>
  <c r="CL23" i="31"/>
  <c r="CK23" i="31"/>
  <c r="CI23" i="31"/>
  <c r="CH23" i="31"/>
  <c r="CG23" i="31"/>
  <c r="CF23" i="31"/>
  <c r="CE23" i="31"/>
  <c r="CD23" i="31"/>
  <c r="CC23" i="31"/>
  <c r="BS23" i="31"/>
  <c r="BR23" i="31"/>
  <c r="BQ23" i="31"/>
  <c r="BP23" i="31"/>
  <c r="BO23" i="31"/>
  <c r="BN23" i="31"/>
  <c r="BN68" i="31" s="1"/>
  <c r="BL23" i="31"/>
  <c r="BK23" i="31"/>
  <c r="BJ23" i="31"/>
  <c r="BJ79" i="31" s="1"/>
  <c r="BI23" i="31"/>
  <c r="BH23" i="31"/>
  <c r="BG23" i="31"/>
  <c r="BF23" i="31"/>
  <c r="BD23" i="31"/>
  <c r="BC23" i="31"/>
  <c r="BB23" i="31"/>
  <c r="BA23" i="31"/>
  <c r="AZ23" i="31"/>
  <c r="AY23" i="31"/>
  <c r="AX23" i="31"/>
  <c r="AV23" i="31"/>
  <c r="AT12" i="31"/>
  <c r="EB22" i="31"/>
  <c r="EA22" i="31"/>
  <c r="DZ22" i="31"/>
  <c r="DY22" i="31"/>
  <c r="DX22" i="31"/>
  <c r="DV22" i="31"/>
  <c r="DU22" i="31"/>
  <c r="DT22" i="31"/>
  <c r="DS22" i="31"/>
  <c r="DR22" i="31"/>
  <c r="DQ22" i="31"/>
  <c r="DP22" i="31"/>
  <c r="DN22" i="31"/>
  <c r="DM22" i="31"/>
  <c r="DL22" i="31"/>
  <c r="DK22" i="31"/>
  <c r="DJ22" i="31"/>
  <c r="DI22" i="31"/>
  <c r="DH22" i="31"/>
  <c r="DF22" i="31"/>
  <c r="DE22" i="31"/>
  <c r="DC22" i="31"/>
  <c r="DC55" i="31" s="1"/>
  <c r="CY22" i="31"/>
  <c r="CX22" i="31"/>
  <c r="CW22" i="31"/>
  <c r="CV22" i="31"/>
  <c r="CT22" i="31"/>
  <c r="CS22" i="31"/>
  <c r="CR22" i="31"/>
  <c r="CQ22" i="31"/>
  <c r="CP22" i="31"/>
  <c r="CO22" i="31"/>
  <c r="CN22" i="31"/>
  <c r="CL22" i="31"/>
  <c r="CK22" i="31"/>
  <c r="CJ22" i="31"/>
  <c r="CI22" i="31"/>
  <c r="CH22" i="31"/>
  <c r="CG22" i="31"/>
  <c r="CF22" i="31"/>
  <c r="CF67" i="31" s="1"/>
  <c r="CD22" i="31"/>
  <c r="CC22" i="31"/>
  <c r="CB22" i="31"/>
  <c r="CB78" i="31" s="1"/>
  <c r="BZ67" i="31"/>
  <c r="BS22" i="31"/>
  <c r="BR22" i="31"/>
  <c r="BQ22" i="31"/>
  <c r="BO22" i="31"/>
  <c r="BN22" i="31"/>
  <c r="BM22" i="31"/>
  <c r="BL22" i="31"/>
  <c r="BK22" i="31"/>
  <c r="BJ22" i="31"/>
  <c r="BI22" i="31"/>
  <c r="BG22" i="31"/>
  <c r="BF22" i="31"/>
  <c r="BE22" i="31"/>
  <c r="BD22" i="31"/>
  <c r="BC22" i="31"/>
  <c r="BB22" i="31"/>
  <c r="BA22" i="31"/>
  <c r="AY22" i="31"/>
  <c r="AX22" i="31"/>
  <c r="AW22" i="31"/>
  <c r="AV22" i="31"/>
  <c r="AT11" i="31"/>
  <c r="EB21" i="31"/>
  <c r="EA21" i="31"/>
  <c r="DZ21" i="31"/>
  <c r="DY21" i="31"/>
  <c r="DX21" i="31"/>
  <c r="DW21" i="31"/>
  <c r="DV21" i="31"/>
  <c r="DT21" i="31"/>
  <c r="DS21" i="31"/>
  <c r="DR21" i="31"/>
  <c r="DQ21" i="31"/>
  <c r="DP21" i="31"/>
  <c r="DO21" i="31"/>
  <c r="DN21" i="31"/>
  <c r="DL21" i="31"/>
  <c r="DK21" i="31"/>
  <c r="DJ21" i="31"/>
  <c r="DI21" i="31"/>
  <c r="DH21" i="31"/>
  <c r="DG21" i="31"/>
  <c r="DF21" i="31"/>
  <c r="DC66" i="31"/>
  <c r="CY21" i="31"/>
  <c r="CX21" i="31"/>
  <c r="CW21" i="31"/>
  <c r="CV21" i="31"/>
  <c r="CU21" i="31"/>
  <c r="CT21" i="31"/>
  <c r="CR21" i="31"/>
  <c r="CQ21" i="31"/>
  <c r="CQ66" i="31" s="1"/>
  <c r="CP21" i="31"/>
  <c r="CO21" i="31"/>
  <c r="CN21" i="31"/>
  <c r="CM21" i="31"/>
  <c r="CM77" i="31" s="1"/>
  <c r="CL21" i="31"/>
  <c r="CJ21" i="31"/>
  <c r="CI21" i="31"/>
  <c r="CH21" i="31"/>
  <c r="CG21" i="31"/>
  <c r="CF21" i="31"/>
  <c r="CE21" i="31"/>
  <c r="CD21" i="31"/>
  <c r="CB21" i="31"/>
  <c r="BZ66" i="31"/>
  <c r="BZ112" i="31" s="1"/>
  <c r="BS21" i="31"/>
  <c r="BR21" i="31"/>
  <c r="BQ21" i="31"/>
  <c r="BP21" i="31"/>
  <c r="BO21" i="31"/>
  <c r="BM21" i="31"/>
  <c r="BL21" i="31"/>
  <c r="BK21" i="31"/>
  <c r="BJ21" i="31"/>
  <c r="BI21" i="31"/>
  <c r="BH21" i="31"/>
  <c r="BG21" i="31"/>
  <c r="BE21" i="31"/>
  <c r="BD21" i="31"/>
  <c r="BC21" i="31"/>
  <c r="BB21" i="31"/>
  <c r="BA21" i="31"/>
  <c r="AZ21" i="31"/>
  <c r="AY21" i="31"/>
  <c r="AW21" i="31"/>
  <c r="AV21" i="31"/>
  <c r="AT10" i="31"/>
  <c r="EB20" i="31"/>
  <c r="DZ20" i="31"/>
  <c r="DY20" i="31"/>
  <c r="DX20" i="31"/>
  <c r="DW20" i="31"/>
  <c r="DV20" i="31"/>
  <c r="DU20" i="31"/>
  <c r="DT20" i="31"/>
  <c r="DR20" i="31"/>
  <c r="DQ20" i="31"/>
  <c r="DP20" i="31"/>
  <c r="DO20" i="31"/>
  <c r="DN20" i="31"/>
  <c r="DM20" i="31"/>
  <c r="DL20" i="31"/>
  <c r="DJ20" i="31"/>
  <c r="DI20" i="31"/>
  <c r="DH20" i="31"/>
  <c r="DG20" i="31"/>
  <c r="DF20" i="31"/>
  <c r="DE20" i="31"/>
  <c r="DC65" i="31"/>
  <c r="CX20" i="31"/>
  <c r="CX76" i="31" s="1"/>
  <c r="CV20" i="31"/>
  <c r="CU20" i="31"/>
  <c r="CT20" i="31"/>
  <c r="CS20" i="31"/>
  <c r="CR20" i="31"/>
  <c r="CP20" i="31"/>
  <c r="CN20" i="31"/>
  <c r="CM20" i="31"/>
  <c r="CL20" i="31"/>
  <c r="CK20" i="31"/>
  <c r="CJ20" i="31"/>
  <c r="CH20" i="31"/>
  <c r="CF20" i="31"/>
  <c r="CE20" i="31"/>
  <c r="CD20" i="31"/>
  <c r="CC20" i="31"/>
  <c r="CB20" i="31"/>
  <c r="BZ65" i="31"/>
  <c r="BS20" i="31"/>
  <c r="BR20" i="31"/>
  <c r="BQ20" i="31"/>
  <c r="BP20" i="31"/>
  <c r="BO20" i="31"/>
  <c r="BN20" i="31"/>
  <c r="BM20" i="31"/>
  <c r="BK20" i="31"/>
  <c r="BJ20" i="31"/>
  <c r="BI20" i="31"/>
  <c r="BH20" i="31"/>
  <c r="BH65" i="31" s="1"/>
  <c r="BG20" i="31"/>
  <c r="BF20" i="31"/>
  <c r="BE20" i="31"/>
  <c r="BC20" i="31"/>
  <c r="BB20" i="31"/>
  <c r="BA20" i="31"/>
  <c r="AZ20" i="31"/>
  <c r="AY20" i="31"/>
  <c r="AX20" i="31"/>
  <c r="AW20" i="31"/>
  <c r="AT9" i="31"/>
  <c r="EB19" i="31"/>
  <c r="EA19" i="31"/>
  <c r="DZ19" i="31"/>
  <c r="DX19" i="31"/>
  <c r="DW19" i="31"/>
  <c r="DV19" i="31"/>
  <c r="DV75" i="31" s="1"/>
  <c r="DU19" i="31"/>
  <c r="DT19" i="31"/>
  <c r="DS19" i="31"/>
  <c r="DR19" i="31"/>
  <c r="DP19" i="31"/>
  <c r="DO19" i="31"/>
  <c r="DN19" i="31"/>
  <c r="DM19" i="31"/>
  <c r="DL19" i="31"/>
  <c r="DK19" i="31"/>
  <c r="DJ19" i="31"/>
  <c r="DH19" i="31"/>
  <c r="DG19" i="31"/>
  <c r="DF19" i="31"/>
  <c r="DE19" i="31"/>
  <c r="DC64" i="31"/>
  <c r="CY19" i="31"/>
  <c r="CY64" i="31" s="1"/>
  <c r="CY110" i="31" s="1"/>
  <c r="CV19" i="31"/>
  <c r="CU19" i="31"/>
  <c r="CT19" i="31"/>
  <c r="CS19" i="31"/>
  <c r="CR19" i="31"/>
  <c r="CQ19" i="31"/>
  <c r="CN19" i="31"/>
  <c r="CM19" i="31"/>
  <c r="CL19" i="31"/>
  <c r="CK19" i="31"/>
  <c r="CJ19" i="31"/>
  <c r="CI19" i="31"/>
  <c r="CF19" i="31"/>
  <c r="CE19" i="31"/>
  <c r="CD19" i="31"/>
  <c r="CC19" i="31"/>
  <c r="CB19" i="31"/>
  <c r="BZ64" i="31"/>
  <c r="BZ110" i="31" s="1"/>
  <c r="BS19" i="31"/>
  <c r="BQ19" i="31"/>
  <c r="BP19" i="31"/>
  <c r="BO19" i="31"/>
  <c r="BN19" i="31"/>
  <c r="BM19" i="31"/>
  <c r="BL19" i="31"/>
  <c r="BK19" i="31"/>
  <c r="BI19" i="31"/>
  <c r="BH19" i="31"/>
  <c r="BG19" i="31"/>
  <c r="BF19" i="31"/>
  <c r="BE19" i="31"/>
  <c r="BD19" i="31"/>
  <c r="BC19" i="31"/>
  <c r="BA19" i="31"/>
  <c r="AZ19" i="31"/>
  <c r="AY19" i="31"/>
  <c r="AY75" i="31" s="1"/>
  <c r="AX19" i="31"/>
  <c r="AW19" i="31"/>
  <c r="AV19" i="31"/>
  <c r="AT8" i="31"/>
  <c r="EA18" i="31"/>
  <c r="DZ18" i="31"/>
  <c r="DY18" i="31"/>
  <c r="DX18" i="31"/>
  <c r="DW18" i="31"/>
  <c r="DV18" i="31"/>
  <c r="DU18" i="31"/>
  <c r="DS18" i="31"/>
  <c r="DR18" i="31"/>
  <c r="DQ18" i="31"/>
  <c r="DP18" i="31"/>
  <c r="DO18" i="31"/>
  <c r="DN18" i="31"/>
  <c r="DM18" i="31"/>
  <c r="DK18" i="31"/>
  <c r="DJ18" i="31"/>
  <c r="DI18" i="31"/>
  <c r="DH18" i="31"/>
  <c r="DG18" i="31"/>
  <c r="DF18" i="31"/>
  <c r="DE18" i="31"/>
  <c r="DC63" i="31"/>
  <c r="CV18" i="31"/>
  <c r="CU18" i="31"/>
  <c r="CS18" i="31"/>
  <c r="CN18" i="31"/>
  <c r="CK18" i="31"/>
  <c r="CF18" i="31"/>
  <c r="CE18" i="31"/>
  <c r="CC18" i="31"/>
  <c r="BS18" i="31"/>
  <c r="BR18" i="31"/>
  <c r="BQ18" i="31"/>
  <c r="BP18" i="31"/>
  <c r="BP63" i="31" s="1"/>
  <c r="BP109" i="31" s="1"/>
  <c r="BN18" i="31"/>
  <c r="BL18" i="31"/>
  <c r="BK18" i="31"/>
  <c r="BJ18" i="31"/>
  <c r="BI18" i="31"/>
  <c r="BH18" i="31"/>
  <c r="BF18" i="31"/>
  <c r="BD18" i="31"/>
  <c r="BC18" i="31"/>
  <c r="BB18" i="31"/>
  <c r="BA18" i="31"/>
  <c r="AZ18" i="31"/>
  <c r="AX18" i="31"/>
  <c r="AV18" i="31"/>
  <c r="AT7" i="31"/>
  <c r="EA17" i="31"/>
  <c r="DZ17" i="31"/>
  <c r="DY17" i="31"/>
  <c r="DX17" i="31"/>
  <c r="DW17" i="31"/>
  <c r="DV17" i="31"/>
  <c r="DU17" i="31"/>
  <c r="DS17" i="31"/>
  <c r="DR17" i="31"/>
  <c r="DQ17" i="31"/>
  <c r="DP17" i="31"/>
  <c r="DO17" i="31"/>
  <c r="DN17" i="31"/>
  <c r="DM17" i="31"/>
  <c r="DM73" i="31" s="1"/>
  <c r="DK17" i="31"/>
  <c r="DJ17" i="31"/>
  <c r="DI17" i="31"/>
  <c r="DH17" i="31"/>
  <c r="DG17" i="31"/>
  <c r="DF17" i="31"/>
  <c r="DE17" i="31"/>
  <c r="DC62" i="31"/>
  <c r="CW17" i="31"/>
  <c r="CT17" i="31"/>
  <c r="CS17" i="31"/>
  <c r="CO17" i="31"/>
  <c r="CL17" i="31"/>
  <c r="CK17" i="31"/>
  <c r="CG17" i="31"/>
  <c r="CF17" i="31"/>
  <c r="CF73" i="31" s="1"/>
  <c r="CE17" i="31"/>
  <c r="CD17" i="31"/>
  <c r="CC17" i="31"/>
  <c r="BZ62" i="31"/>
  <c r="BS17" i="31"/>
  <c r="BR17" i="31"/>
  <c r="BQ17" i="31"/>
  <c r="BP17" i="31"/>
  <c r="BO17" i="31"/>
  <c r="BN17" i="31"/>
  <c r="BL17" i="31"/>
  <c r="BK17" i="31"/>
  <c r="BJ17" i="31"/>
  <c r="BI17" i="31"/>
  <c r="BH17" i="31"/>
  <c r="BF17" i="31"/>
  <c r="BD17" i="31"/>
  <c r="BC17" i="31"/>
  <c r="BB17" i="31"/>
  <c r="BA17" i="31"/>
  <c r="AZ17" i="31"/>
  <c r="AX17" i="31"/>
  <c r="AV17" i="31"/>
  <c r="EA16" i="31"/>
  <c r="DZ16" i="31"/>
  <c r="DY16" i="31"/>
  <c r="DY72" i="31" s="1"/>
  <c r="DX16" i="31"/>
  <c r="DW16" i="31"/>
  <c r="DV16" i="31"/>
  <c r="DU16" i="31"/>
  <c r="DS16" i="31"/>
  <c r="DR16" i="31"/>
  <c r="DQ16" i="31"/>
  <c r="DQ72" i="31" s="1"/>
  <c r="DP16" i="31"/>
  <c r="DO16" i="31"/>
  <c r="DN16" i="31"/>
  <c r="DM16" i="31"/>
  <c r="DK16" i="31"/>
  <c r="DJ16" i="31"/>
  <c r="DI16" i="31"/>
  <c r="DI72" i="31" s="1"/>
  <c r="DH16" i="31"/>
  <c r="DG16" i="31"/>
  <c r="DF16" i="31"/>
  <c r="DE16" i="31"/>
  <c r="DC27" i="31"/>
  <c r="DC91" i="31" s="1"/>
  <c r="CX16" i="31"/>
  <c r="CU16" i="31"/>
  <c r="CT16" i="31"/>
  <c r="CQ16" i="31"/>
  <c r="CP16" i="31"/>
  <c r="CM16" i="31"/>
  <c r="CL16" i="31"/>
  <c r="CH16" i="31"/>
  <c r="CE16" i="31"/>
  <c r="CD16" i="31"/>
  <c r="BZ27" i="31"/>
  <c r="BZ91" i="31" s="1"/>
  <c r="BS16" i="31"/>
  <c r="BR16" i="31"/>
  <c r="BQ16" i="31"/>
  <c r="BP16" i="31"/>
  <c r="BN16" i="31"/>
  <c r="BL16" i="31"/>
  <c r="BK16" i="31"/>
  <c r="BJ16" i="31"/>
  <c r="BJ72" i="31" s="1"/>
  <c r="BI16" i="31"/>
  <c r="BH16" i="31"/>
  <c r="BF16" i="31"/>
  <c r="BD16" i="31"/>
  <c r="BC16" i="31"/>
  <c r="BB16" i="31"/>
  <c r="BA16" i="31"/>
  <c r="AZ16" i="31"/>
  <c r="AX16" i="31"/>
  <c r="AV16" i="31"/>
  <c r="AT5" i="31"/>
  <c r="EA15" i="31"/>
  <c r="DZ15" i="31"/>
  <c r="DY15" i="31"/>
  <c r="DX15" i="31"/>
  <c r="DW15" i="31"/>
  <c r="DV15" i="31"/>
  <c r="DU15" i="31"/>
  <c r="DU71" i="31" s="1"/>
  <c r="DS15" i="31"/>
  <c r="DR15" i="31"/>
  <c r="DQ15" i="31"/>
  <c r="DP15" i="31"/>
  <c r="DO15" i="31"/>
  <c r="DN15" i="31"/>
  <c r="DM15" i="31"/>
  <c r="DM71" i="31" s="1"/>
  <c r="DK15" i="31"/>
  <c r="DJ15" i="31"/>
  <c r="DJ60" i="31" s="1"/>
  <c r="DI15" i="31"/>
  <c r="DH15" i="31"/>
  <c r="DG15" i="31"/>
  <c r="DF15" i="31"/>
  <c r="DE15" i="31"/>
  <c r="DE71" i="31" s="1"/>
  <c r="DC60" i="31"/>
  <c r="CY15" i="31"/>
  <c r="CX15" i="31"/>
  <c r="CV15" i="31"/>
  <c r="CU15" i="31"/>
  <c r="CQ15" i="31"/>
  <c r="CN15" i="31"/>
  <c r="CM15" i="31"/>
  <c r="CI15" i="31"/>
  <c r="CF15" i="31"/>
  <c r="CE15" i="31"/>
  <c r="BZ60" i="31"/>
  <c r="BS15" i="31"/>
  <c r="BR15" i="31"/>
  <c r="BQ15" i="31"/>
  <c r="BP15" i="31"/>
  <c r="BO15" i="31"/>
  <c r="BN15" i="31"/>
  <c r="BK15" i="31"/>
  <c r="BJ15" i="31"/>
  <c r="BI15" i="31"/>
  <c r="BH15" i="31"/>
  <c r="BG15" i="31"/>
  <c r="BF15" i="31"/>
  <c r="BC15" i="31"/>
  <c r="BB15" i="31"/>
  <c r="BA15" i="31"/>
  <c r="AZ15" i="31"/>
  <c r="AY15" i="31"/>
  <c r="AX15" i="31"/>
  <c r="AX71" i="31" s="1"/>
  <c r="AT4" i="31"/>
  <c r="DD2" i="31"/>
  <c r="CA2" i="31"/>
  <c r="C62" i="30"/>
  <c r="C61" i="30"/>
  <c r="C48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C41" i="30"/>
  <c r="C40" i="30"/>
  <c r="C27" i="30" s="1"/>
  <c r="Z26" i="30"/>
  <c r="Y26" i="30"/>
  <c r="X26" i="30"/>
  <c r="T26" i="30"/>
  <c r="S26" i="30"/>
  <c r="Q26" i="30"/>
  <c r="O26" i="30"/>
  <c r="L26" i="30"/>
  <c r="K26" i="30"/>
  <c r="J26" i="30"/>
  <c r="I26" i="30"/>
  <c r="G26" i="30"/>
  <c r="D26" i="30"/>
  <c r="C26" i="30"/>
  <c r="Z25" i="30"/>
  <c r="Y25" i="30"/>
  <c r="T25" i="30"/>
  <c r="S25" i="30"/>
  <c r="Q25" i="30"/>
  <c r="L25" i="30"/>
  <c r="K25" i="30"/>
  <c r="J25" i="30"/>
  <c r="I25" i="30"/>
  <c r="D25" i="30"/>
  <c r="C25" i="30"/>
  <c r="Z20" i="30"/>
  <c r="Z21" i="30" s="1"/>
  <c r="Z7" i="30" s="1"/>
  <c r="Z12" i="30" s="1"/>
  <c r="Y20" i="30"/>
  <c r="Y21" i="30" s="1"/>
  <c r="X20" i="30"/>
  <c r="X21" i="30" s="1"/>
  <c r="W20" i="30"/>
  <c r="V20" i="30"/>
  <c r="U20" i="30"/>
  <c r="U21" i="30" s="1"/>
  <c r="U7" i="30" s="1"/>
  <c r="U12" i="30" s="1"/>
  <c r="T20" i="30"/>
  <c r="P20" i="30"/>
  <c r="P21" i="30" s="1"/>
  <c r="P7" i="30" s="1"/>
  <c r="P12" i="30" s="1"/>
  <c r="O20" i="30"/>
  <c r="N20" i="30"/>
  <c r="M20" i="30"/>
  <c r="M21" i="30" s="1"/>
  <c r="M7" i="30" s="1"/>
  <c r="M12" i="30" s="1"/>
  <c r="L20" i="30"/>
  <c r="K20" i="30"/>
  <c r="K21" i="30" s="1"/>
  <c r="K7" i="30" s="1"/>
  <c r="K12" i="30" s="1"/>
  <c r="J20" i="30"/>
  <c r="J21" i="30" s="1"/>
  <c r="I20" i="30"/>
  <c r="H20" i="30"/>
  <c r="H21" i="30" s="1"/>
  <c r="H7" i="30" s="1"/>
  <c r="H12" i="30" s="1"/>
  <c r="F20" i="30"/>
  <c r="E20" i="30"/>
  <c r="E21" i="30" s="1"/>
  <c r="E7" i="30" s="1"/>
  <c r="E12" i="30" s="1"/>
  <c r="D20" i="30"/>
  <c r="C20" i="30"/>
  <c r="C21" i="30" s="1"/>
  <c r="C7" i="30" s="1"/>
  <c r="C12" i="30" s="1"/>
  <c r="C19" i="30"/>
  <c r="X7" i="30"/>
  <c r="X12" i="30" s="1"/>
  <c r="J7" i="30"/>
  <c r="J12" i="30" s="1"/>
  <c r="Z5" i="30"/>
  <c r="Z9" i="30" s="1"/>
  <c r="Y5" i="30"/>
  <c r="Y9" i="30" s="1"/>
  <c r="X5" i="30"/>
  <c r="W5" i="30"/>
  <c r="V5" i="30"/>
  <c r="U5" i="30"/>
  <c r="T5" i="30"/>
  <c r="Q5" i="30"/>
  <c r="P5" i="30"/>
  <c r="O5" i="30"/>
  <c r="N5" i="30"/>
  <c r="M5" i="30"/>
  <c r="M9" i="30" s="1"/>
  <c r="L5" i="30"/>
  <c r="K5" i="30"/>
  <c r="J5" i="30"/>
  <c r="I5" i="30"/>
  <c r="H5" i="30"/>
  <c r="E5" i="30"/>
  <c r="E9" i="30" s="1"/>
  <c r="D5" i="30"/>
  <c r="C5" i="30"/>
  <c r="Z4" i="30"/>
  <c r="Y4" i="30"/>
  <c r="X4" i="30"/>
  <c r="W4" i="30"/>
  <c r="V4" i="30"/>
  <c r="U4" i="30"/>
  <c r="T4" i="30"/>
  <c r="T2" i="30" s="1"/>
  <c r="P4" i="30"/>
  <c r="O4" i="30"/>
  <c r="N4" i="30"/>
  <c r="M4" i="30"/>
  <c r="L4" i="30"/>
  <c r="L2" i="30" s="1"/>
  <c r="K4" i="30"/>
  <c r="J4" i="30"/>
  <c r="I4" i="30"/>
  <c r="H4" i="30"/>
  <c r="E4" i="30"/>
  <c r="D4" i="30"/>
  <c r="D2" i="30" s="1"/>
  <c r="C4" i="30"/>
  <c r="Z3" i="30"/>
  <c r="Y3" i="30"/>
  <c r="X3" i="30"/>
  <c r="W3" i="30"/>
  <c r="V3" i="30"/>
  <c r="V201" i="30" s="1"/>
  <c r="U3" i="30"/>
  <c r="U2" i="30" s="1"/>
  <c r="T3" i="30"/>
  <c r="P3" i="30"/>
  <c r="P201" i="30" s="1"/>
  <c r="O3" i="30"/>
  <c r="N3" i="30"/>
  <c r="M3" i="30"/>
  <c r="L3" i="30"/>
  <c r="K3" i="30"/>
  <c r="J3" i="30"/>
  <c r="I3" i="30"/>
  <c r="H3" i="30"/>
  <c r="H201" i="30" s="1"/>
  <c r="E3" i="30"/>
  <c r="D3" i="30"/>
  <c r="C3" i="30"/>
  <c r="V2" i="30"/>
  <c r="K2" i="30"/>
  <c r="C2" i="30"/>
  <c r="AA205" i="29"/>
  <c r="AC201" i="29"/>
  <c r="AI197" i="29"/>
  <c r="AF197" i="29"/>
  <c r="V197" i="29"/>
  <c r="W190" i="29"/>
  <c r="AC185" i="29"/>
  <c r="AI181" i="29"/>
  <c r="AF181" i="29"/>
  <c r="W181" i="29"/>
  <c r="AC177" i="29"/>
  <c r="U174" i="29"/>
  <c r="AJ173" i="29"/>
  <c r="K72" i="29"/>
  <c r="C40" i="33" s="1"/>
  <c r="D40" i="33" s="1"/>
  <c r="K71" i="29"/>
  <c r="C39" i="33" s="1"/>
  <c r="D39" i="33" s="1"/>
  <c r="K70" i="29"/>
  <c r="AC33" i="29"/>
  <c r="AA33" i="29"/>
  <c r="X33" i="29"/>
  <c r="Z33" i="29"/>
  <c r="AC31" i="29"/>
  <c r="Z31" i="29"/>
  <c r="W31" i="29"/>
  <c r="AA31" i="29"/>
  <c r="AC30" i="29"/>
  <c r="AB30" i="29"/>
  <c r="AA30" i="29"/>
  <c r="X30" i="29"/>
  <c r="W30" i="29"/>
  <c r="Z30" i="29"/>
  <c r="Z27" i="29"/>
  <c r="X24" i="29"/>
  <c r="K11" i="29"/>
  <c r="C10" i="33" s="1"/>
  <c r="D10" i="33" s="1"/>
  <c r="K10" i="29"/>
  <c r="C9" i="33" s="1"/>
  <c r="D9" i="33" s="1"/>
  <c r="D225" i="33" l="1"/>
  <c r="D239" i="33"/>
  <c r="D223" i="33"/>
  <c r="D224" i="33"/>
  <c r="Y164" i="32"/>
  <c r="AB164" i="32" s="1"/>
  <c r="Z164" i="32"/>
  <c r="AC164" i="32" s="1"/>
  <c r="X164" i="32"/>
  <c r="AA164" i="32" s="1"/>
  <c r="T164" i="32"/>
  <c r="V164" i="32" s="1"/>
  <c r="T164" i="29"/>
  <c r="AF164" i="29" s="1"/>
  <c r="X164" i="29"/>
  <c r="AA164" i="29" s="1"/>
  <c r="Z164" i="29"/>
  <c r="Y164" i="29"/>
  <c r="X170" i="29"/>
  <c r="AA170" i="29" s="1"/>
  <c r="T170" i="29"/>
  <c r="W170" i="29" s="1"/>
  <c r="Z170" i="29"/>
  <c r="AC170" i="29" s="1"/>
  <c r="Y170" i="29"/>
  <c r="AB170" i="29" s="1"/>
  <c r="T170" i="32"/>
  <c r="Z170" i="32"/>
  <c r="AC170" i="32" s="1"/>
  <c r="Y170" i="32"/>
  <c r="X170" i="32"/>
  <c r="T169" i="29"/>
  <c r="Z169" i="29"/>
  <c r="AC169" i="29" s="1"/>
  <c r="X169" i="29"/>
  <c r="AA169" i="29" s="1"/>
  <c r="Y169" i="29"/>
  <c r="AB169" i="29" s="1"/>
  <c r="X169" i="32"/>
  <c r="Y169" i="32"/>
  <c r="AB169" i="32" s="1"/>
  <c r="T169" i="32"/>
  <c r="Z169" i="32"/>
  <c r="AC169" i="32" s="1"/>
  <c r="BZ29" i="31"/>
  <c r="BZ93" i="31" s="1"/>
  <c r="CL89" i="33"/>
  <c r="T257" i="32"/>
  <c r="U257" i="32" s="1"/>
  <c r="B129" i="31"/>
  <c r="F86" i="31"/>
  <c r="E2" i="30"/>
  <c r="E8" i="30"/>
  <c r="T165" i="32"/>
  <c r="W165" i="32" s="1"/>
  <c r="Z165" i="32"/>
  <c r="AC165" i="32" s="1"/>
  <c r="Y165" i="32"/>
  <c r="AB165" i="32" s="1"/>
  <c r="X165" i="32"/>
  <c r="AA165" i="32" s="1"/>
  <c r="Z165" i="29"/>
  <c r="AC165" i="29" s="1"/>
  <c r="Y165" i="29"/>
  <c r="AB165" i="29" s="1"/>
  <c r="X165" i="29"/>
  <c r="AA165" i="29" s="1"/>
  <c r="T165" i="29"/>
  <c r="BR70" i="32"/>
  <c r="Z8" i="30"/>
  <c r="Z201" i="30" s="1"/>
  <c r="Z212" i="30" s="1"/>
  <c r="Z2" i="30"/>
  <c r="BR72" i="32"/>
  <c r="Y8" i="30"/>
  <c r="Y201" i="30" s="1"/>
  <c r="Y212" i="30" s="1"/>
  <c r="F4" i="30"/>
  <c r="F5" i="30"/>
  <c r="F9" i="30" s="1"/>
  <c r="G3" i="30"/>
  <c r="G5" i="30"/>
  <c r="G9" i="30" s="1"/>
  <c r="G4" i="30"/>
  <c r="F8" i="30"/>
  <c r="F201" i="30" s="1"/>
  <c r="F212" i="30" s="1"/>
  <c r="F2" i="30"/>
  <c r="Y168" i="32"/>
  <c r="AB168" i="32" s="1"/>
  <c r="X168" i="32"/>
  <c r="AA168" i="32" s="1"/>
  <c r="T168" i="32"/>
  <c r="W168" i="32" s="1"/>
  <c r="Z168" i="32"/>
  <c r="AC168" i="32" s="1"/>
  <c r="Z168" i="29"/>
  <c r="AC168" i="29" s="1"/>
  <c r="Y168" i="29"/>
  <c r="AB168" i="29" s="1"/>
  <c r="X168" i="29"/>
  <c r="AA168" i="29" s="1"/>
  <c r="T168" i="29"/>
  <c r="U168" i="29" s="1"/>
  <c r="Y166" i="29"/>
  <c r="AB166" i="29" s="1"/>
  <c r="X166" i="29"/>
  <c r="AA166" i="29" s="1"/>
  <c r="T166" i="29"/>
  <c r="W166" i="29" s="1"/>
  <c r="Z166" i="29"/>
  <c r="AC166" i="29" s="1"/>
  <c r="T167" i="29"/>
  <c r="Z167" i="29"/>
  <c r="AC167" i="29" s="1"/>
  <c r="Y167" i="29"/>
  <c r="AB167" i="29" s="1"/>
  <c r="X167" i="29"/>
  <c r="AA167" i="29" s="1"/>
  <c r="T166" i="32"/>
  <c r="V166" i="32" s="1"/>
  <c r="Z166" i="32"/>
  <c r="AC166" i="32" s="1"/>
  <c r="Y166" i="32"/>
  <c r="AB166" i="32" s="1"/>
  <c r="X166" i="32"/>
  <c r="T167" i="32"/>
  <c r="Z167" i="32"/>
  <c r="AC167" i="32" s="1"/>
  <c r="Y167" i="32"/>
  <c r="AB167" i="32" s="1"/>
  <c r="X167" i="32"/>
  <c r="AA167" i="32" s="1"/>
  <c r="Z186" i="29"/>
  <c r="AC186" i="29" s="1"/>
  <c r="T186" i="29"/>
  <c r="V186" i="29" s="1"/>
  <c r="Y186" i="29"/>
  <c r="AB186" i="29" s="1"/>
  <c r="X186" i="29"/>
  <c r="AA186" i="29" s="1"/>
  <c r="T186" i="32"/>
  <c r="AF186" i="32" s="1"/>
  <c r="Z186" i="32"/>
  <c r="AC186" i="32" s="1"/>
  <c r="Y186" i="32"/>
  <c r="AB186" i="32" s="1"/>
  <c r="X186" i="32"/>
  <c r="AA186" i="32" s="1"/>
  <c r="M8" i="30"/>
  <c r="M201" i="30" s="1"/>
  <c r="M212" i="30" s="1"/>
  <c r="M2" i="30"/>
  <c r="E69" i="30"/>
  <c r="O69" i="30"/>
  <c r="AY93" i="31"/>
  <c r="S69" i="30"/>
  <c r="BD99" i="31"/>
  <c r="BL99" i="31"/>
  <c r="BL100" i="31" s="1"/>
  <c r="BL101" i="31" s="1"/>
  <c r="G69" i="30"/>
  <c r="K71" i="30"/>
  <c r="K69" i="30"/>
  <c r="M70" i="30"/>
  <c r="Q71" i="30"/>
  <c r="M69" i="30"/>
  <c r="S70" i="30"/>
  <c r="S71" i="30"/>
  <c r="U71" i="30"/>
  <c r="U69" i="30"/>
  <c r="C71" i="30"/>
  <c r="C69" i="30"/>
  <c r="W69" i="30"/>
  <c r="G71" i="30"/>
  <c r="I71" i="30"/>
  <c r="C68" i="30"/>
  <c r="N68" i="30"/>
  <c r="Q68" i="30"/>
  <c r="T68" i="30"/>
  <c r="W68" i="30"/>
  <c r="F68" i="30"/>
  <c r="G68" i="30"/>
  <c r="J68" i="30"/>
  <c r="R68" i="30"/>
  <c r="K68" i="30"/>
  <c r="Y68" i="30"/>
  <c r="E68" i="30"/>
  <c r="M68" i="30"/>
  <c r="U68" i="30"/>
  <c r="L68" i="30"/>
  <c r="Z68" i="30"/>
  <c r="AV90" i="31"/>
  <c r="AV99" i="31" s="1"/>
  <c r="AV100" i="31" s="1"/>
  <c r="AV101" i="31" s="1"/>
  <c r="D68" i="30"/>
  <c r="O68" i="30"/>
  <c r="H68" i="30"/>
  <c r="P68" i="30"/>
  <c r="X68" i="30"/>
  <c r="I68" i="30"/>
  <c r="S68" i="30"/>
  <c r="Z256" i="32"/>
  <c r="AA256" i="32" s="1"/>
  <c r="T133" i="32"/>
  <c r="X28" i="32"/>
  <c r="AB29" i="32" s="1"/>
  <c r="AC29" i="32" s="1"/>
  <c r="AG33" i="32"/>
  <c r="AH33" i="32" s="1"/>
  <c r="AI33" i="32" s="1"/>
  <c r="Z257" i="32"/>
  <c r="AA257" i="32" s="1"/>
  <c r="Z258" i="32"/>
  <c r="AA258" i="32" s="1"/>
  <c r="U34" i="29"/>
  <c r="V212" i="30"/>
  <c r="C186" i="33"/>
  <c r="D186" i="33" s="1"/>
  <c r="AJ217" i="33" s="1"/>
  <c r="AN217" i="33" s="1"/>
  <c r="AC164" i="29"/>
  <c r="AA187" i="32"/>
  <c r="AC187" i="29"/>
  <c r="H25" i="30"/>
  <c r="F26" i="30"/>
  <c r="N26" i="30"/>
  <c r="W26" i="30"/>
  <c r="P26" i="30"/>
  <c r="U25" i="30"/>
  <c r="V25" i="30"/>
  <c r="E25" i="30"/>
  <c r="M25" i="30"/>
  <c r="R25" i="30"/>
  <c r="CC90" i="31"/>
  <c r="CK90" i="31"/>
  <c r="CS90" i="31"/>
  <c r="D114" i="30"/>
  <c r="S114" i="30"/>
  <c r="E115" i="30"/>
  <c r="E114" i="30"/>
  <c r="T114" i="30"/>
  <c r="R115" i="30"/>
  <c r="I114" i="30"/>
  <c r="W114" i="30"/>
  <c r="Z115" i="30"/>
  <c r="J114" i="30"/>
  <c r="Y114" i="30"/>
  <c r="L114" i="30"/>
  <c r="Z114" i="30"/>
  <c r="O114" i="30"/>
  <c r="S115" i="30"/>
  <c r="G114" i="30"/>
  <c r="R114" i="30"/>
  <c r="U115" i="30"/>
  <c r="K114" i="30"/>
  <c r="U114" i="30"/>
  <c r="J115" i="30"/>
  <c r="K115" i="30"/>
  <c r="M115" i="30"/>
  <c r="CT90" i="31"/>
  <c r="CC16" i="31"/>
  <c r="CC61" i="31" s="1"/>
  <c r="CC107" i="31" s="1"/>
  <c r="CD15" i="31"/>
  <c r="CL90" i="31"/>
  <c r="AL93" i="32"/>
  <c r="CJ15" i="31"/>
  <c r="CJ71" i="31" s="1"/>
  <c r="CY91" i="31"/>
  <c r="CR15" i="31"/>
  <c r="CR71" i="31" s="1"/>
  <c r="CS15" i="31"/>
  <c r="CK15" i="31"/>
  <c r="CC15" i="31"/>
  <c r="CB91" i="31"/>
  <c r="C112" i="30"/>
  <c r="C111" i="30"/>
  <c r="E111" i="30"/>
  <c r="M111" i="30"/>
  <c r="D113" i="30"/>
  <c r="U111" i="30"/>
  <c r="O113" i="30"/>
  <c r="E110" i="30"/>
  <c r="J110" i="30"/>
  <c r="M110" i="30"/>
  <c r="N110" i="30"/>
  <c r="R110" i="30"/>
  <c r="Z110" i="30"/>
  <c r="F113" i="30"/>
  <c r="Q113" i="30"/>
  <c r="I117" i="30"/>
  <c r="R117" i="30"/>
  <c r="S119" i="30"/>
  <c r="BP70" i="32"/>
  <c r="D110" i="30"/>
  <c r="O110" i="30"/>
  <c r="G113" i="30"/>
  <c r="S113" i="30"/>
  <c r="J117" i="30"/>
  <c r="S117" i="30"/>
  <c r="C118" i="30"/>
  <c r="K118" i="30"/>
  <c r="S118" i="30"/>
  <c r="U119" i="30"/>
  <c r="BQ70" i="32"/>
  <c r="I113" i="30"/>
  <c r="T113" i="30"/>
  <c r="C117" i="30"/>
  <c r="K117" i="30"/>
  <c r="T117" i="30"/>
  <c r="H110" i="30"/>
  <c r="P110" i="30"/>
  <c r="X110" i="30"/>
  <c r="F110" i="30"/>
  <c r="T110" i="30"/>
  <c r="J113" i="30"/>
  <c r="V113" i="30"/>
  <c r="D117" i="30"/>
  <c r="L117" i="30"/>
  <c r="V117" i="30"/>
  <c r="I110" i="30"/>
  <c r="Q110" i="30"/>
  <c r="Y110" i="30"/>
  <c r="G110" i="30"/>
  <c r="U110" i="30"/>
  <c r="K111" i="30"/>
  <c r="K112" i="30"/>
  <c r="K113" i="30"/>
  <c r="W113" i="30"/>
  <c r="F114" i="30"/>
  <c r="N114" i="30"/>
  <c r="V114" i="30"/>
  <c r="E117" i="30"/>
  <c r="M117" i="30"/>
  <c r="W117" i="30"/>
  <c r="F118" i="30"/>
  <c r="N118" i="30"/>
  <c r="V118" i="30"/>
  <c r="J119" i="30"/>
  <c r="V110" i="30"/>
  <c r="L113" i="30"/>
  <c r="Y113" i="30"/>
  <c r="F117" i="30"/>
  <c r="N117" i="30"/>
  <c r="Y117" i="30"/>
  <c r="C110" i="30"/>
  <c r="K110" i="30"/>
  <c r="S110" i="30"/>
  <c r="J111" i="30"/>
  <c r="R111" i="30"/>
  <c r="Z111" i="30"/>
  <c r="H113" i="30"/>
  <c r="P113" i="30"/>
  <c r="L110" i="30"/>
  <c r="S111" i="30"/>
  <c r="C113" i="30"/>
  <c r="N113" i="30"/>
  <c r="Z113" i="30"/>
  <c r="H114" i="30"/>
  <c r="P114" i="30"/>
  <c r="G117" i="30"/>
  <c r="O117" i="30"/>
  <c r="Z117" i="30"/>
  <c r="H118" i="30"/>
  <c r="P118" i="30"/>
  <c r="X118" i="30"/>
  <c r="M119" i="30"/>
  <c r="AE180" i="29"/>
  <c r="AF174" i="29"/>
  <c r="U206" i="29"/>
  <c r="AJ177" i="32"/>
  <c r="W201" i="32"/>
  <c r="U194" i="32"/>
  <c r="AG201" i="32"/>
  <c r="AF185" i="32"/>
  <c r="AF177" i="32"/>
  <c r="C120" i="33"/>
  <c r="D120" i="33" s="1"/>
  <c r="AG174" i="29"/>
  <c r="W206" i="29"/>
  <c r="AJ178" i="32"/>
  <c r="AI174" i="29"/>
  <c r="V182" i="29"/>
  <c r="AG206" i="29"/>
  <c r="W178" i="32"/>
  <c r="AI206" i="29"/>
  <c r="V174" i="29"/>
  <c r="AE190" i="29"/>
  <c r="AJ174" i="32"/>
  <c r="U178" i="29"/>
  <c r="AG206" i="32"/>
  <c r="U202" i="29"/>
  <c r="U185" i="29"/>
  <c r="AJ178" i="29"/>
  <c r="AF206" i="32"/>
  <c r="W202" i="29"/>
  <c r="U174" i="32"/>
  <c r="AF202" i="29"/>
  <c r="V174" i="32"/>
  <c r="W174" i="32"/>
  <c r="U206" i="32"/>
  <c r="AE197" i="29"/>
  <c r="AJ201" i="29"/>
  <c r="W191" i="32"/>
  <c r="W199" i="32"/>
  <c r="AG179" i="29"/>
  <c r="AF205" i="32"/>
  <c r="AF201" i="29"/>
  <c r="AE185" i="29"/>
  <c r="AE201" i="29"/>
  <c r="U197" i="32"/>
  <c r="AG180" i="32"/>
  <c r="AD191" i="29"/>
  <c r="AH191" i="29" s="1"/>
  <c r="AE93" i="32"/>
  <c r="BS93" i="32"/>
  <c r="BQ97" i="32"/>
  <c r="BM107" i="32"/>
  <c r="F69" i="31"/>
  <c r="AI180" i="32"/>
  <c r="AG199" i="32"/>
  <c r="AE174" i="29"/>
  <c r="AZ90" i="32"/>
  <c r="AG103" i="32"/>
  <c r="AE188" i="32"/>
  <c r="AI199" i="32"/>
  <c r="X236" i="32"/>
  <c r="C309" i="33" s="1"/>
  <c r="AC90" i="32"/>
  <c r="AX91" i="32"/>
  <c r="AQ104" i="32"/>
  <c r="I201" i="30"/>
  <c r="I212" i="30" s="1"/>
  <c r="T201" i="30"/>
  <c r="T212" i="30" s="1"/>
  <c r="U199" i="32"/>
  <c r="J166" i="32"/>
  <c r="C234" i="33" s="1"/>
  <c r="D234" i="33" s="1"/>
  <c r="F75" i="31"/>
  <c r="AJ199" i="32"/>
  <c r="AA27" i="29"/>
  <c r="J201" i="30"/>
  <c r="J212" i="30" s="1"/>
  <c r="K201" i="30"/>
  <c r="K212" i="30" s="1"/>
  <c r="F76" i="31"/>
  <c r="J167" i="32"/>
  <c r="C235" i="33" s="1"/>
  <c r="F77" i="31"/>
  <c r="AC50" i="32"/>
  <c r="AC51" i="32"/>
  <c r="CH89" i="33"/>
  <c r="CO89" i="33"/>
  <c r="CT89" i="33"/>
  <c r="CY89" i="33"/>
  <c r="CW89" i="33"/>
  <c r="CD89" i="33"/>
  <c r="CX89" i="33"/>
  <c r="CG89" i="33"/>
  <c r="CD26" i="31"/>
  <c r="CT26" i="31"/>
  <c r="CT60" i="31" s="1"/>
  <c r="CT106" i="31" s="1"/>
  <c r="CE26" i="31"/>
  <c r="CU26" i="31"/>
  <c r="CG26" i="31"/>
  <c r="CW26" i="31"/>
  <c r="CL26" i="31"/>
  <c r="CL60" i="31" s="1"/>
  <c r="CL106" i="31" s="1"/>
  <c r="CM26" i="31"/>
  <c r="CX26" i="31"/>
  <c r="CO26" i="31"/>
  <c r="CB26" i="31"/>
  <c r="F73" i="31"/>
  <c r="B110" i="31" s="1"/>
  <c r="C181" i="30"/>
  <c r="C196" i="30" s="1"/>
  <c r="G76" i="31" s="1"/>
  <c r="T259" i="32"/>
  <c r="U259" i="32" s="1"/>
  <c r="C190" i="33"/>
  <c r="D190" i="33" s="1"/>
  <c r="AK190" i="33" s="1"/>
  <c r="AO190" i="33" s="1"/>
  <c r="O201" i="30"/>
  <c r="O212" i="30" s="1"/>
  <c r="Q4" i="30"/>
  <c r="Q2" i="30" s="1"/>
  <c r="Q3" i="30"/>
  <c r="F72" i="31"/>
  <c r="R20" i="30"/>
  <c r="R21" i="30" s="1"/>
  <c r="R7" i="30" s="1"/>
  <c r="R12" i="30" s="1"/>
  <c r="S20" i="30"/>
  <c r="S21" i="30" s="1"/>
  <c r="S7" i="30" s="1"/>
  <c r="S12" i="30" s="1"/>
  <c r="R3" i="30"/>
  <c r="R4" i="30"/>
  <c r="R5" i="30"/>
  <c r="S3" i="30"/>
  <c r="S4" i="30"/>
  <c r="S5" i="30"/>
  <c r="R113" i="30"/>
  <c r="R26" i="30"/>
  <c r="X29" i="32"/>
  <c r="X201" i="30"/>
  <c r="F21" i="30"/>
  <c r="F7" i="30" s="1"/>
  <c r="F12" i="30" s="1"/>
  <c r="O21" i="30"/>
  <c r="O7" i="30" s="1"/>
  <c r="O12" i="30" s="1"/>
  <c r="C63" i="30"/>
  <c r="C49" i="30" s="1"/>
  <c r="C54" i="30" s="1"/>
  <c r="BV105" i="32"/>
  <c r="BQ105" i="32"/>
  <c r="AZ105" i="32"/>
  <c r="AK105" i="32"/>
  <c r="Y2" i="30"/>
  <c r="BF71" i="31"/>
  <c r="H2" i="30"/>
  <c r="N201" i="30"/>
  <c r="N212" i="30" s="1"/>
  <c r="J2" i="30"/>
  <c r="W201" i="30"/>
  <c r="W212" i="30" s="1"/>
  <c r="C53" i="30"/>
  <c r="CF99" i="31"/>
  <c r="CN99" i="31"/>
  <c r="CN100" i="31" s="1"/>
  <c r="CN101" i="31" s="1"/>
  <c r="CV99" i="31"/>
  <c r="DQ99" i="31"/>
  <c r="DQ100" i="31" s="1"/>
  <c r="DQ101" i="31" s="1"/>
  <c r="DY99" i="31"/>
  <c r="DY100" i="31" s="1"/>
  <c r="DY101" i="31" s="1"/>
  <c r="AB90" i="32"/>
  <c r="BR97" i="32"/>
  <c r="AS97" i="32"/>
  <c r="N2" i="30"/>
  <c r="CA59" i="31"/>
  <c r="CA120" i="33"/>
  <c r="DL99" i="31"/>
  <c r="DT99" i="31"/>
  <c r="EB99" i="31"/>
  <c r="AT89" i="32"/>
  <c r="BH90" i="32"/>
  <c r="AU93" i="32"/>
  <c r="AB105" i="32"/>
  <c r="K73" i="29"/>
  <c r="AP7" i="30" s="1"/>
  <c r="C38" i="33"/>
  <c r="D38" i="33" s="1"/>
  <c r="O2" i="30"/>
  <c r="I7" i="30"/>
  <c r="I12" i="30" s="1"/>
  <c r="I21" i="30"/>
  <c r="Q21" i="30"/>
  <c r="Q7" i="30" s="1"/>
  <c r="Q12" i="30" s="1"/>
  <c r="Y7" i="30"/>
  <c r="Y12" i="30" s="1"/>
  <c r="DD120" i="33"/>
  <c r="DD59" i="31"/>
  <c r="CB99" i="31"/>
  <c r="CJ99" i="31"/>
  <c r="CR99" i="31"/>
  <c r="CF78" i="31"/>
  <c r="AU89" i="32"/>
  <c r="BI90" i="32"/>
  <c r="BB93" i="32"/>
  <c r="BH105" i="32"/>
  <c r="N21" i="30"/>
  <c r="N7" i="30" s="1"/>
  <c r="N12" i="30" s="1"/>
  <c r="G21" i="30"/>
  <c r="G7" i="30" s="1"/>
  <c r="G12" i="30" s="1"/>
  <c r="P2" i="30"/>
  <c r="D201" i="30"/>
  <c r="D212" i="30" s="1"/>
  <c r="L201" i="30"/>
  <c r="L212" i="30" s="1"/>
  <c r="BN71" i="31"/>
  <c r="CT61" i="31"/>
  <c r="CT107" i="31" s="1"/>
  <c r="DF99" i="31"/>
  <c r="DF100" i="31" s="1"/>
  <c r="DF101" i="31" s="1"/>
  <c r="BJ89" i="32"/>
  <c r="BK93" i="32"/>
  <c r="AU100" i="32"/>
  <c r="BK100" i="32"/>
  <c r="CH160" i="33"/>
  <c r="CH161" i="33" s="1"/>
  <c r="CH162" i="33" s="1"/>
  <c r="CP160" i="33"/>
  <c r="CP161" i="33" s="1"/>
  <c r="CP162" i="33" s="1"/>
  <c r="CX160" i="33"/>
  <c r="CX161" i="33" s="1"/>
  <c r="CX162" i="33" s="1"/>
  <c r="E201" i="30"/>
  <c r="E212" i="30" s="1"/>
  <c r="I2" i="30"/>
  <c r="AX99" i="31"/>
  <c r="BF99" i="31"/>
  <c r="BN99" i="31"/>
  <c r="CD99" i="31"/>
  <c r="CL99" i="31"/>
  <c r="CT99" i="31"/>
  <c r="BR89" i="32"/>
  <c r="AF180" i="32"/>
  <c r="W180" i="32"/>
  <c r="U180" i="32"/>
  <c r="AF188" i="32"/>
  <c r="W188" i="32"/>
  <c r="V188" i="32"/>
  <c r="AF196" i="32"/>
  <c r="W196" i="32"/>
  <c r="V196" i="32"/>
  <c r="AJ204" i="32"/>
  <c r="AI204" i="32"/>
  <c r="W204" i="32"/>
  <c r="V21" i="30"/>
  <c r="V7" i="30" s="1"/>
  <c r="V12" i="30" s="1"/>
  <c r="X2" i="30"/>
  <c r="W21" i="30"/>
  <c r="W7" i="30" s="1"/>
  <c r="W12" i="30" s="1"/>
  <c r="U201" i="30"/>
  <c r="U212" i="30" s="1"/>
  <c r="C6" i="30"/>
  <c r="D21" i="30"/>
  <c r="D7" i="30" s="1"/>
  <c r="D12" i="30" s="1"/>
  <c r="L21" i="30"/>
  <c r="L7" i="30" s="1"/>
  <c r="L12" i="30" s="1"/>
  <c r="T21" i="30"/>
  <c r="T7" i="30" s="1"/>
  <c r="T12" i="30" s="1"/>
  <c r="C42" i="30"/>
  <c r="C28" i="30" s="1"/>
  <c r="C33" i="30" s="1"/>
  <c r="DH99" i="31"/>
  <c r="DH100" i="31" s="1"/>
  <c r="DH101" i="31" s="1"/>
  <c r="DP99" i="31"/>
  <c r="DX99" i="31"/>
  <c r="DE60" i="31"/>
  <c r="AE180" i="32"/>
  <c r="BU103" i="32"/>
  <c r="DH160" i="33"/>
  <c r="DH161" i="33" s="1"/>
  <c r="DH162" i="33" s="1"/>
  <c r="DP160" i="33"/>
  <c r="DP161" i="33" s="1"/>
  <c r="DP162" i="33" s="1"/>
  <c r="DX160" i="33"/>
  <c r="DX161" i="33" s="1"/>
  <c r="DX162" i="33" s="1"/>
  <c r="K70" i="30"/>
  <c r="Z70" i="30"/>
  <c r="R70" i="30"/>
  <c r="J70" i="30"/>
  <c r="Y70" i="30"/>
  <c r="Q70" i="30"/>
  <c r="I70" i="30"/>
  <c r="X70" i="30"/>
  <c r="P70" i="30"/>
  <c r="H70" i="30"/>
  <c r="W70" i="30"/>
  <c r="O70" i="30"/>
  <c r="G70" i="30"/>
  <c r="V70" i="30"/>
  <c r="N70" i="30"/>
  <c r="F70" i="30"/>
  <c r="T70" i="30"/>
  <c r="L70" i="30"/>
  <c r="D70" i="30"/>
  <c r="T75" i="30"/>
  <c r="L75" i="30"/>
  <c r="D75" i="30"/>
  <c r="Z75" i="30"/>
  <c r="R75" i="30"/>
  <c r="J75" i="30"/>
  <c r="Y75" i="30"/>
  <c r="Q75" i="30"/>
  <c r="I75" i="30"/>
  <c r="X75" i="30"/>
  <c r="P75" i="30"/>
  <c r="H75" i="30"/>
  <c r="W75" i="30"/>
  <c r="O75" i="30"/>
  <c r="G75" i="30"/>
  <c r="U75" i="30"/>
  <c r="U16" i="30" s="1"/>
  <c r="M75" i="30"/>
  <c r="E75" i="30"/>
  <c r="N75" i="30"/>
  <c r="K75" i="30"/>
  <c r="F75" i="30"/>
  <c r="C75" i="30"/>
  <c r="V75" i="30"/>
  <c r="C70" i="30"/>
  <c r="E70" i="30"/>
  <c r="F69" i="30"/>
  <c r="N69" i="30"/>
  <c r="V69" i="30"/>
  <c r="J71" i="30"/>
  <c r="T71" i="30"/>
  <c r="Y116" i="30"/>
  <c r="Q116" i="30"/>
  <c r="I116" i="30"/>
  <c r="X116" i="30"/>
  <c r="P116" i="30"/>
  <c r="H11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H69" i="30"/>
  <c r="P69" i="30"/>
  <c r="X69" i="30"/>
  <c r="D71" i="30"/>
  <c r="L71" i="30"/>
  <c r="V71" i="30"/>
  <c r="Y112" i="30"/>
  <c r="Q112" i="30"/>
  <c r="I112" i="30"/>
  <c r="X112" i="30"/>
  <c r="P112" i="30"/>
  <c r="H112" i="30"/>
  <c r="W112" i="30"/>
  <c r="O112" i="30"/>
  <c r="G112" i="30"/>
  <c r="V112" i="30"/>
  <c r="N112" i="30"/>
  <c r="F112" i="30"/>
  <c r="U112" i="30"/>
  <c r="M112" i="30"/>
  <c r="E112" i="30"/>
  <c r="T112" i="30"/>
  <c r="L112" i="30"/>
  <c r="D112" i="30"/>
  <c r="Z112" i="30"/>
  <c r="R112" i="30"/>
  <c r="J112" i="30"/>
  <c r="I69" i="30"/>
  <c r="Q69" i="30"/>
  <c r="Y69" i="30"/>
  <c r="E71" i="30"/>
  <c r="M71" i="30"/>
  <c r="Y71" i="30"/>
  <c r="J69" i="30"/>
  <c r="R69" i="30"/>
  <c r="Z69" i="30"/>
  <c r="F71" i="30"/>
  <c r="N71" i="30"/>
  <c r="X71" i="30"/>
  <c r="P71" i="30"/>
  <c r="W71" i="30"/>
  <c r="O71" i="30"/>
  <c r="D69" i="30"/>
  <c r="L69" i="30"/>
  <c r="H71" i="30"/>
  <c r="R71" i="30"/>
  <c r="K116" i="30"/>
  <c r="G74" i="30"/>
  <c r="O74" i="30"/>
  <c r="W74" i="30"/>
  <c r="D111" i="30"/>
  <c r="L111" i="30"/>
  <c r="T111" i="30"/>
  <c r="X113" i="30"/>
  <c r="D115" i="30"/>
  <c r="L115" i="30"/>
  <c r="T115" i="30"/>
  <c r="P117" i="30"/>
  <c r="X117" i="30"/>
  <c r="D119" i="30"/>
  <c r="L119" i="30"/>
  <c r="T119" i="30"/>
  <c r="M72" i="30"/>
  <c r="U72" i="30"/>
  <c r="I74" i="30"/>
  <c r="Q74" i="30"/>
  <c r="Y74" i="30"/>
  <c r="E76" i="30"/>
  <c r="M76" i="30"/>
  <c r="U76" i="30"/>
  <c r="F111" i="30"/>
  <c r="N111" i="30"/>
  <c r="V111" i="30"/>
  <c r="F115" i="30"/>
  <c r="N115" i="30"/>
  <c r="V115" i="30"/>
  <c r="F119" i="30"/>
  <c r="N119" i="30"/>
  <c r="V119" i="30"/>
  <c r="Z155" i="30"/>
  <c r="R155" i="30"/>
  <c r="J155" i="30"/>
  <c r="Y155" i="30"/>
  <c r="Q155" i="30"/>
  <c r="I155" i="30"/>
  <c r="X155" i="30"/>
  <c r="P155" i="30"/>
  <c r="H155" i="30"/>
  <c r="W155" i="30"/>
  <c r="O155" i="30"/>
  <c r="G155" i="30"/>
  <c r="V155" i="30"/>
  <c r="N155" i="30"/>
  <c r="F155" i="30"/>
  <c r="U155" i="30"/>
  <c r="M155" i="30"/>
  <c r="E155" i="30"/>
  <c r="N72" i="30"/>
  <c r="V72" i="30"/>
  <c r="J74" i="30"/>
  <c r="R74" i="30"/>
  <c r="Z74" i="30"/>
  <c r="V76" i="30"/>
  <c r="G111" i="30"/>
  <c r="O111" i="30"/>
  <c r="W111" i="30"/>
  <c r="G115" i="30"/>
  <c r="O115" i="30"/>
  <c r="W115" i="30"/>
  <c r="G119" i="30"/>
  <c r="O119" i="30"/>
  <c r="W119" i="30"/>
  <c r="L159" i="30"/>
  <c r="W76" i="30"/>
  <c r="H111" i="30"/>
  <c r="P111" i="30"/>
  <c r="X111" i="30"/>
  <c r="H115" i="30"/>
  <c r="P115" i="30"/>
  <c r="X115" i="30"/>
  <c r="H119" i="30"/>
  <c r="P119" i="30"/>
  <c r="X119" i="30"/>
  <c r="C155" i="30"/>
  <c r="S159" i="30"/>
  <c r="I111" i="30"/>
  <c r="Q111" i="30"/>
  <c r="E113" i="30"/>
  <c r="M113" i="30"/>
  <c r="I115" i="30"/>
  <c r="Q115" i="30"/>
  <c r="I119" i="30"/>
  <c r="Q119" i="30"/>
  <c r="D155" i="30"/>
  <c r="K155" i="30"/>
  <c r="Z159" i="30"/>
  <c r="R159" i="30"/>
  <c r="J159" i="30"/>
  <c r="Y159" i="30"/>
  <c r="Q159" i="30"/>
  <c r="I159" i="30"/>
  <c r="X159" i="30"/>
  <c r="P159" i="30"/>
  <c r="H159" i="30"/>
  <c r="W159" i="30"/>
  <c r="O159" i="30"/>
  <c r="G159" i="30"/>
  <c r="V159" i="30"/>
  <c r="N159" i="30"/>
  <c r="F159" i="30"/>
  <c r="U159" i="30"/>
  <c r="M159" i="30"/>
  <c r="E159" i="30"/>
  <c r="R72" i="30"/>
  <c r="F74" i="30"/>
  <c r="N74" i="30"/>
  <c r="J76" i="30"/>
  <c r="R76" i="30"/>
  <c r="L155" i="30"/>
  <c r="Y157" i="30"/>
  <c r="Z153" i="30"/>
  <c r="Z157" i="30"/>
  <c r="X158" i="30"/>
  <c r="L160" i="30"/>
  <c r="L57" i="30" s="1"/>
  <c r="T160" i="30"/>
  <c r="R161" i="30"/>
  <c r="Z161" i="30"/>
  <c r="P162" i="30"/>
  <c r="X162" i="30"/>
  <c r="Y158" i="30"/>
  <c r="E160" i="30"/>
  <c r="M160" i="30"/>
  <c r="U160" i="30"/>
  <c r="Y162" i="30"/>
  <c r="F160" i="30"/>
  <c r="N160" i="30"/>
  <c r="V160" i="30"/>
  <c r="R162" i="30"/>
  <c r="W156" i="30"/>
  <c r="U157" i="30"/>
  <c r="G160" i="30"/>
  <c r="O160" i="30"/>
  <c r="W160" i="30"/>
  <c r="P156" i="30"/>
  <c r="P160" i="30"/>
  <c r="AI184" i="32"/>
  <c r="AJ184" i="32"/>
  <c r="AJ192" i="32"/>
  <c r="AI192" i="32"/>
  <c r="BL96" i="32"/>
  <c r="BD96" i="32"/>
  <c r="AV96" i="32"/>
  <c r="AU96" i="32"/>
  <c r="AN96" i="32"/>
  <c r="AM96" i="32"/>
  <c r="BT96" i="32"/>
  <c r="AF96" i="32"/>
  <c r="BV104" i="32"/>
  <c r="BS104" i="32"/>
  <c r="BC104" i="32"/>
  <c r="AM104" i="32"/>
  <c r="BR104" i="32"/>
  <c r="BB104" i="32"/>
  <c r="AL104" i="32"/>
  <c r="BP104" i="32"/>
  <c r="AZ104" i="32"/>
  <c r="AJ104" i="32"/>
  <c r="BO104" i="32"/>
  <c r="AY104" i="32"/>
  <c r="AI104" i="32"/>
  <c r="BK104" i="32"/>
  <c r="AU104" i="32"/>
  <c r="AE104" i="32"/>
  <c r="BJ104" i="32"/>
  <c r="AT104" i="32"/>
  <c r="AD104" i="32"/>
  <c r="BH104" i="32"/>
  <c r="AR104" i="32"/>
  <c r="AB104" i="32"/>
  <c r="AD196" i="32"/>
  <c r="AH196" i="32" s="1"/>
  <c r="AE196" i="32"/>
  <c r="C189" i="33"/>
  <c r="D189" i="33" s="1"/>
  <c r="AK189" i="33" s="1"/>
  <c r="AO189" i="33" s="1"/>
  <c r="H212" i="30"/>
  <c r="BA90" i="32"/>
  <c r="AI93" i="32"/>
  <c r="AY93" i="32"/>
  <c r="BP93" i="32"/>
  <c r="AT97" i="32"/>
  <c r="BS100" i="32"/>
  <c r="AO103" i="32"/>
  <c r="AR105" i="32"/>
  <c r="BU107" i="32"/>
  <c r="AA184" i="32"/>
  <c r="AD184" i="32" s="1"/>
  <c r="AH184" i="32" s="1"/>
  <c r="AJ93" i="32"/>
  <c r="AZ93" i="32"/>
  <c r="BR93" i="32"/>
  <c r="BB97" i="32"/>
  <c r="BT100" i="32"/>
  <c r="AV103" i="32"/>
  <c r="AS105" i="32"/>
  <c r="BV107" i="32"/>
  <c r="AA176" i="32"/>
  <c r="AD176" i="32" s="1"/>
  <c r="AH176" i="32" s="1"/>
  <c r="AC178" i="32"/>
  <c r="AE178" i="32" s="1"/>
  <c r="AF22" i="30"/>
  <c r="J127" i="32"/>
  <c r="BS89" i="32"/>
  <c r="AJ90" i="32"/>
  <c r="BP90" i="32"/>
  <c r="AM93" i="32"/>
  <c r="BC93" i="32"/>
  <c r="AE100" i="32"/>
  <c r="BA105" i="32"/>
  <c r="AG107" i="32"/>
  <c r="X273" i="32"/>
  <c r="AD89" i="32"/>
  <c r="AK90" i="32"/>
  <c r="BQ90" i="32"/>
  <c r="AQ93" i="32"/>
  <c r="BG93" i="32"/>
  <c r="AM100" i="32"/>
  <c r="AO107" i="32"/>
  <c r="P212" i="30"/>
  <c r="AL89" i="32"/>
  <c r="AR90" i="32"/>
  <c r="AB93" i="32"/>
  <c r="AR93" i="32"/>
  <c r="BH93" i="32"/>
  <c r="AN100" i="32"/>
  <c r="AC105" i="32"/>
  <c r="BI105" i="32"/>
  <c r="AX106" i="32"/>
  <c r="AP107" i="32"/>
  <c r="CF160" i="33"/>
  <c r="CF161" i="33" s="1"/>
  <c r="CF162" i="33" s="1"/>
  <c r="CN160" i="33"/>
  <c r="CN161" i="33" s="1"/>
  <c r="CN162" i="33" s="1"/>
  <c r="CV160" i="33"/>
  <c r="CV161" i="33" s="1"/>
  <c r="CV162" i="33" s="1"/>
  <c r="AS90" i="32"/>
  <c r="AD93" i="32"/>
  <c r="AT93" i="32"/>
  <c r="BJ93" i="32"/>
  <c r="AV100" i="32"/>
  <c r="AJ105" i="32"/>
  <c r="BP105" i="32"/>
  <c r="AX107" i="32"/>
  <c r="X240" i="32"/>
  <c r="C32" i="30"/>
  <c r="C182" i="33"/>
  <c r="D182" i="33" s="1"/>
  <c r="AJ215" i="33" s="1"/>
  <c r="X271" i="32"/>
  <c r="X233" i="32"/>
  <c r="C306" i="33" s="1"/>
  <c r="R62" i="30"/>
  <c r="BG61" i="31"/>
  <c r="BG107" i="31" s="1"/>
  <c r="BG72" i="31"/>
  <c r="DF61" i="31"/>
  <c r="DF72" i="31"/>
  <c r="CV73" i="31"/>
  <c r="CV62" i="31"/>
  <c r="CV108" i="31" s="1"/>
  <c r="BK74" i="31"/>
  <c r="BK63" i="31"/>
  <c r="BK109" i="31" s="1"/>
  <c r="CX74" i="31"/>
  <c r="CX63" i="31"/>
  <c r="CX109" i="31" s="1"/>
  <c r="BP75" i="31"/>
  <c r="BP64" i="31"/>
  <c r="DO75" i="31"/>
  <c r="DO64" i="31"/>
  <c r="CG76" i="31"/>
  <c r="CG65" i="31"/>
  <c r="CG111" i="31" s="1"/>
  <c r="DQ76" i="31"/>
  <c r="DQ65" i="31"/>
  <c r="DS66" i="31"/>
  <c r="DS77" i="31"/>
  <c r="CK78" i="31"/>
  <c r="CK67" i="31"/>
  <c r="BC79" i="31"/>
  <c r="BC68" i="31"/>
  <c r="CX79" i="31"/>
  <c r="CX68" i="31"/>
  <c r="BR75" i="31"/>
  <c r="BR64" i="31"/>
  <c r="BB69" i="31"/>
  <c r="BB115" i="31" s="1"/>
  <c r="BB80" i="31"/>
  <c r="BQ33" i="31"/>
  <c r="BI33" i="31"/>
  <c r="BA33" i="31"/>
  <c r="BP33" i="31"/>
  <c r="BH33" i="31"/>
  <c r="AZ33" i="31"/>
  <c r="BO33" i="31"/>
  <c r="BG33" i="31"/>
  <c r="AY33" i="31"/>
  <c r="BN33" i="31"/>
  <c r="BF33" i="31"/>
  <c r="AX33" i="31"/>
  <c r="BM33" i="31"/>
  <c r="BE33" i="31"/>
  <c r="AW33" i="31"/>
  <c r="BL33" i="31"/>
  <c r="BD33" i="31"/>
  <c r="AV33" i="31"/>
  <c r="BR33" i="31"/>
  <c r="BJ33" i="31"/>
  <c r="BB33" i="31"/>
  <c r="BF3" i="30"/>
  <c r="BG3" i="30" s="1"/>
  <c r="O15" i="30"/>
  <c r="AV60" i="31"/>
  <c r="AV106" i="31" s="1"/>
  <c r="BL71" i="31"/>
  <c r="BL60" i="31"/>
  <c r="BL106" i="31" s="1"/>
  <c r="BZ106" i="31"/>
  <c r="BZ71" i="31"/>
  <c r="CQ71" i="31"/>
  <c r="CQ60" i="31"/>
  <c r="CQ106" i="31" s="1"/>
  <c r="CY60" i="31"/>
  <c r="CY106" i="31" s="1"/>
  <c r="DK71" i="31"/>
  <c r="DK60" i="31"/>
  <c r="DS71" i="31"/>
  <c r="DS60" i="31"/>
  <c r="EA71" i="31"/>
  <c r="EA60" i="31"/>
  <c r="AX61" i="31"/>
  <c r="AX107" i="31" s="1"/>
  <c r="BF72" i="31"/>
  <c r="BF61" i="31"/>
  <c r="BF107" i="31" s="1"/>
  <c r="BN72" i="31"/>
  <c r="BN61" i="31"/>
  <c r="BN107" i="31" s="1"/>
  <c r="DE72" i="31"/>
  <c r="DE61" i="31"/>
  <c r="DM72" i="31"/>
  <c r="DM61" i="31"/>
  <c r="DU72" i="31"/>
  <c r="DU61" i="31"/>
  <c r="BP73" i="31"/>
  <c r="BP62" i="31"/>
  <c r="BP108" i="31" s="1"/>
  <c r="CE73" i="31"/>
  <c r="CE62" i="31"/>
  <c r="CE108" i="31" s="1"/>
  <c r="CU73" i="31"/>
  <c r="CU62" i="31"/>
  <c r="CU108" i="31" s="1"/>
  <c r="DG73" i="31"/>
  <c r="DG62" i="31"/>
  <c r="DO73" i="31"/>
  <c r="DO62" i="31"/>
  <c r="DW73" i="31"/>
  <c r="DW62" i="31"/>
  <c r="BJ74" i="31"/>
  <c r="BJ63" i="31"/>
  <c r="BJ109" i="31" s="1"/>
  <c r="BR74" i="31"/>
  <c r="BR63" i="31"/>
  <c r="BR109" i="31" s="1"/>
  <c r="CG74" i="31"/>
  <c r="CG63" i="31"/>
  <c r="CG109" i="31" s="1"/>
  <c r="CW74" i="31"/>
  <c r="CW63" i="31"/>
  <c r="CW109" i="31" s="1"/>
  <c r="DI74" i="31"/>
  <c r="DI63" i="31"/>
  <c r="DQ74" i="31"/>
  <c r="DQ63" i="31"/>
  <c r="DY74" i="31"/>
  <c r="DY63" i="31"/>
  <c r="BG75" i="31"/>
  <c r="BG64" i="31"/>
  <c r="BO75" i="31"/>
  <c r="BO64" i="31"/>
  <c r="CD75" i="31"/>
  <c r="CD64" i="31"/>
  <c r="CD110" i="31" s="1"/>
  <c r="CL75" i="31"/>
  <c r="CL64" i="31"/>
  <c r="CL110" i="31" s="1"/>
  <c r="CT75" i="31"/>
  <c r="CT64" i="31"/>
  <c r="CT110" i="31" s="1"/>
  <c r="DF75" i="31"/>
  <c r="DF64" i="31"/>
  <c r="DN75" i="31"/>
  <c r="DN64" i="31"/>
  <c r="BA65" i="31"/>
  <c r="BA76" i="31"/>
  <c r="BI65" i="31"/>
  <c r="BI76" i="31"/>
  <c r="BQ65" i="31"/>
  <c r="BQ76" i="31"/>
  <c r="CF65" i="31"/>
  <c r="CF111" i="31" s="1"/>
  <c r="CF76" i="31"/>
  <c r="CN65" i="31"/>
  <c r="CN111" i="31" s="1"/>
  <c r="CN76" i="31"/>
  <c r="CV65" i="31"/>
  <c r="CV111" i="31" s="1"/>
  <c r="CV76" i="31"/>
  <c r="DH65" i="31"/>
  <c r="DH76" i="31"/>
  <c r="DP65" i="31"/>
  <c r="DP76" i="31"/>
  <c r="DX65" i="31"/>
  <c r="DX76" i="31"/>
  <c r="BC66" i="31"/>
  <c r="BC77" i="31"/>
  <c r="BK66" i="31"/>
  <c r="BK77" i="31"/>
  <c r="BS66" i="31"/>
  <c r="BS77" i="31"/>
  <c r="CH66" i="31"/>
  <c r="CH77" i="31"/>
  <c r="CP66" i="31"/>
  <c r="CP77" i="31"/>
  <c r="CX66" i="31"/>
  <c r="CX77" i="31"/>
  <c r="DJ66" i="31"/>
  <c r="DJ77" i="31"/>
  <c r="DR66" i="31"/>
  <c r="DR77" i="31"/>
  <c r="DZ66" i="31"/>
  <c r="DZ77" i="31"/>
  <c r="AW78" i="31"/>
  <c r="AW67" i="31"/>
  <c r="BE78" i="31"/>
  <c r="BE67" i="31"/>
  <c r="BM78" i="31"/>
  <c r="BM67" i="31"/>
  <c r="CJ78" i="31"/>
  <c r="CJ67" i="31"/>
  <c r="CR78" i="31"/>
  <c r="CR67" i="31"/>
  <c r="DL78" i="31"/>
  <c r="DL67" i="31"/>
  <c r="DT78" i="31"/>
  <c r="DT67" i="31"/>
  <c r="EB78" i="31"/>
  <c r="EB67" i="31"/>
  <c r="BB79" i="31"/>
  <c r="BB68" i="31"/>
  <c r="BR79" i="31"/>
  <c r="BR68" i="31"/>
  <c r="CG79" i="31"/>
  <c r="CG68" i="31"/>
  <c r="CO79" i="31"/>
  <c r="CO68" i="31"/>
  <c r="CW79" i="31"/>
  <c r="CW68" i="31"/>
  <c r="DI79" i="31"/>
  <c r="DI68" i="31"/>
  <c r="DQ79" i="31"/>
  <c r="DQ68" i="31"/>
  <c r="DY79" i="31"/>
  <c r="DY68" i="31"/>
  <c r="AV69" i="31"/>
  <c r="AV115" i="31" s="1"/>
  <c r="AV80" i="31"/>
  <c r="BD69" i="31"/>
  <c r="BD115" i="31" s="1"/>
  <c r="BD80" i="31"/>
  <c r="BL69" i="31"/>
  <c r="BL115" i="31" s="1"/>
  <c r="BL80" i="31"/>
  <c r="CI69" i="31"/>
  <c r="CI80" i="31"/>
  <c r="CQ69" i="31"/>
  <c r="CQ80" i="31"/>
  <c r="CY69" i="31"/>
  <c r="CY80" i="31"/>
  <c r="DK69" i="31"/>
  <c r="DK80" i="31"/>
  <c r="DS69" i="31"/>
  <c r="DS80" i="31"/>
  <c r="EA69" i="31"/>
  <c r="EA80" i="31"/>
  <c r="DL72" i="31"/>
  <c r="DL61" i="31"/>
  <c r="BM73" i="31"/>
  <c r="BM62" i="31"/>
  <c r="BM108" i="31" s="1"/>
  <c r="C253" i="33"/>
  <c r="D253" i="33" s="1"/>
  <c r="B97" i="31"/>
  <c r="D97" i="31" s="1"/>
  <c r="CJ74" i="31"/>
  <c r="CJ63" i="31"/>
  <c r="CJ109" i="31" s="1"/>
  <c r="BJ75" i="31"/>
  <c r="BJ64" i="31"/>
  <c r="CQ76" i="31"/>
  <c r="CQ65" i="31"/>
  <c r="CQ111" i="31" s="1"/>
  <c r="AX66" i="31"/>
  <c r="AX77" i="31"/>
  <c r="DU66" i="31"/>
  <c r="DU77" i="31"/>
  <c r="CM67" i="31"/>
  <c r="CM78" i="31"/>
  <c r="BM68" i="31"/>
  <c r="BM79" i="31"/>
  <c r="DQ69" i="31"/>
  <c r="DQ80" i="31"/>
  <c r="AT109" i="31"/>
  <c r="AT74" i="31"/>
  <c r="CG61" i="31"/>
  <c r="CG107" i="31" s="1"/>
  <c r="DV64" i="31"/>
  <c r="DJ71" i="31"/>
  <c r="CQ77" i="31"/>
  <c r="AZ72" i="31"/>
  <c r="AZ61" i="31"/>
  <c r="AZ107" i="31" s="1"/>
  <c r="BH72" i="31"/>
  <c r="BH61" i="31"/>
  <c r="BH107" i="31" s="1"/>
  <c r="BP72" i="31"/>
  <c r="BP61" i="31"/>
  <c r="BP107" i="31" s="1"/>
  <c r="CE61" i="31"/>
  <c r="CE107" i="31" s="1"/>
  <c r="DG72" i="31"/>
  <c r="DG61" i="31"/>
  <c r="DO72" i="31"/>
  <c r="DO61" i="31"/>
  <c r="DW72" i="31"/>
  <c r="DW61" i="31"/>
  <c r="BB73" i="31"/>
  <c r="BB62" i="31"/>
  <c r="BB108" i="31" s="1"/>
  <c r="BJ73" i="31"/>
  <c r="BJ62" i="31"/>
  <c r="BJ108" i="31" s="1"/>
  <c r="BR73" i="31"/>
  <c r="BR62" i="31"/>
  <c r="BR108" i="31" s="1"/>
  <c r="CG62" i="31"/>
  <c r="CG108" i="31" s="1"/>
  <c r="CG73" i="31"/>
  <c r="CO62" i="31"/>
  <c r="CO108" i="31" s="1"/>
  <c r="CO73" i="31"/>
  <c r="CW62" i="31"/>
  <c r="CW108" i="31" s="1"/>
  <c r="CW73" i="31"/>
  <c r="DI62" i="31"/>
  <c r="DI73" i="31"/>
  <c r="DQ62" i="31"/>
  <c r="DQ73" i="31"/>
  <c r="DY62" i="31"/>
  <c r="DY73" i="31"/>
  <c r="AV74" i="31"/>
  <c r="AV63" i="31"/>
  <c r="AV109" i="31" s="1"/>
  <c r="BD74" i="31"/>
  <c r="BD63" i="31"/>
  <c r="BD109" i="31" s="1"/>
  <c r="BL74" i="31"/>
  <c r="BL63" i="31"/>
  <c r="BL109" i="31" s="1"/>
  <c r="CI74" i="31"/>
  <c r="CI63" i="31"/>
  <c r="CI109" i="31" s="1"/>
  <c r="CY74" i="31"/>
  <c r="CY63" i="31"/>
  <c r="CY109" i="31" s="1"/>
  <c r="DK74" i="31"/>
  <c r="DK63" i="31"/>
  <c r="DS74" i="31"/>
  <c r="DS63" i="31"/>
  <c r="EA74" i="31"/>
  <c r="EA63" i="31"/>
  <c r="BA75" i="31"/>
  <c r="BA64" i="31"/>
  <c r="BI75" i="31"/>
  <c r="BI64" i="31"/>
  <c r="BQ75" i="31"/>
  <c r="BQ64" i="31"/>
  <c r="CF75" i="31"/>
  <c r="CF64" i="31"/>
  <c r="CF110" i="31" s="1"/>
  <c r="CN75" i="31"/>
  <c r="CN64" i="31"/>
  <c r="CN110" i="31" s="1"/>
  <c r="CV75" i="31"/>
  <c r="CV64" i="31"/>
  <c r="CV110" i="31" s="1"/>
  <c r="DH75" i="31"/>
  <c r="DH64" i="31"/>
  <c r="DP75" i="31"/>
  <c r="DP64" i="31"/>
  <c r="DX75" i="31"/>
  <c r="DX64" i="31"/>
  <c r="BC76" i="31"/>
  <c r="BC65" i="31"/>
  <c r="BK76" i="31"/>
  <c r="BK65" i="31"/>
  <c r="BS76" i="31"/>
  <c r="BS65" i="31"/>
  <c r="CH76" i="31"/>
  <c r="CH65" i="31"/>
  <c r="CH111" i="31" s="1"/>
  <c r="CP76" i="31"/>
  <c r="CP65" i="31"/>
  <c r="CP111" i="31" s="1"/>
  <c r="DJ76" i="31"/>
  <c r="DJ65" i="31"/>
  <c r="DR76" i="31"/>
  <c r="DR65" i="31"/>
  <c r="DZ76" i="31"/>
  <c r="DZ65" i="31"/>
  <c r="AW66" i="31"/>
  <c r="AW77" i="31"/>
  <c r="BE66" i="31"/>
  <c r="BE77" i="31"/>
  <c r="BM66" i="31"/>
  <c r="BM77" i="31"/>
  <c r="CB66" i="31"/>
  <c r="CB77" i="31"/>
  <c r="CJ66" i="31"/>
  <c r="CJ77" i="31"/>
  <c r="CR66" i="31"/>
  <c r="CR77" i="31"/>
  <c r="DL66" i="31"/>
  <c r="DL77" i="31"/>
  <c r="DT66" i="31"/>
  <c r="DT77" i="31"/>
  <c r="EB66" i="31"/>
  <c r="EB77" i="31"/>
  <c r="AY78" i="31"/>
  <c r="AY67" i="31"/>
  <c r="BG78" i="31"/>
  <c r="BG67" i="31"/>
  <c r="BO78" i="31"/>
  <c r="BO67" i="31"/>
  <c r="CD78" i="31"/>
  <c r="CD67" i="31"/>
  <c r="CL78" i="31"/>
  <c r="CL67" i="31"/>
  <c r="CT78" i="31"/>
  <c r="CT67" i="31"/>
  <c r="DF78" i="31"/>
  <c r="DF67" i="31"/>
  <c r="DN78" i="31"/>
  <c r="DN67" i="31"/>
  <c r="DV78" i="31"/>
  <c r="DV67" i="31"/>
  <c r="AV79" i="31"/>
  <c r="AV68" i="31"/>
  <c r="BD79" i="31"/>
  <c r="BD68" i="31"/>
  <c r="BL79" i="31"/>
  <c r="BL68" i="31"/>
  <c r="BZ68" i="31"/>
  <c r="BZ45" i="31"/>
  <c r="BZ34" i="31"/>
  <c r="BZ97" i="31" s="1"/>
  <c r="BZ23" i="31"/>
  <c r="BZ56" i="31" s="1"/>
  <c r="CI79" i="31"/>
  <c r="CI68" i="31"/>
  <c r="CQ79" i="31"/>
  <c r="CQ68" i="31"/>
  <c r="CY79" i="31"/>
  <c r="CY68" i="31"/>
  <c r="DK79" i="31"/>
  <c r="DK68" i="31"/>
  <c r="DS79" i="31"/>
  <c r="DS68" i="31"/>
  <c r="EA79" i="31"/>
  <c r="EA68" i="31"/>
  <c r="BF80" i="31"/>
  <c r="BF69" i="31"/>
  <c r="BF115" i="31" s="1"/>
  <c r="BN80" i="31"/>
  <c r="BN69" i="31"/>
  <c r="BN115" i="31" s="1"/>
  <c r="CC80" i="31"/>
  <c r="CC69" i="31"/>
  <c r="CK80" i="31"/>
  <c r="CK69" i="31"/>
  <c r="CS80" i="31"/>
  <c r="CS69" i="31"/>
  <c r="DE80" i="31"/>
  <c r="DE69" i="31"/>
  <c r="DM80" i="31"/>
  <c r="DM69" i="31"/>
  <c r="DL71" i="31"/>
  <c r="DL60" i="31"/>
  <c r="BE72" i="31"/>
  <c r="BE61" i="31"/>
  <c r="BE107" i="31" s="1"/>
  <c r="EB72" i="31"/>
  <c r="EB61" i="31"/>
  <c r="CG75" i="31"/>
  <c r="CG64" i="31"/>
  <c r="CG110" i="31" s="1"/>
  <c r="DK76" i="31"/>
  <c r="DK65" i="31"/>
  <c r="BN66" i="31"/>
  <c r="BN77" i="31"/>
  <c r="DG67" i="31"/>
  <c r="DG78" i="31"/>
  <c r="CJ68" i="31"/>
  <c r="CJ79" i="31"/>
  <c r="BJ69" i="31"/>
  <c r="BJ115" i="31" s="1"/>
  <c r="BJ80" i="31"/>
  <c r="CW31" i="31"/>
  <c r="CO31" i="31"/>
  <c r="CG31" i="31"/>
  <c r="CV31" i="31"/>
  <c r="CN31" i="31"/>
  <c r="CF31" i="31"/>
  <c r="CU31" i="31"/>
  <c r="CM31" i="31"/>
  <c r="CE31" i="31"/>
  <c r="CT31" i="31"/>
  <c r="CL31" i="31"/>
  <c r="CD31" i="31"/>
  <c r="CS31" i="31"/>
  <c r="CK31" i="31"/>
  <c r="CC31" i="31"/>
  <c r="CR31" i="31"/>
  <c r="CJ31" i="31"/>
  <c r="CB31" i="31"/>
  <c r="CX31" i="31"/>
  <c r="CP31" i="31"/>
  <c r="CH31" i="31"/>
  <c r="BC33" i="31"/>
  <c r="BC35" i="31"/>
  <c r="AT111" i="31"/>
  <c r="AT76" i="31"/>
  <c r="DM60" i="31"/>
  <c r="CW61" i="31"/>
  <c r="CW107" i="31" s="1"/>
  <c r="CF62" i="31"/>
  <c r="CF108" i="31" s="1"/>
  <c r="CX65" i="31"/>
  <c r="CX111" i="31" s="1"/>
  <c r="CH73" i="31"/>
  <c r="BN79" i="31"/>
  <c r="CL61" i="31"/>
  <c r="CL107" i="31" s="1"/>
  <c r="CL72" i="31"/>
  <c r="DR74" i="31"/>
  <c r="DR63" i="31"/>
  <c r="CM75" i="31"/>
  <c r="CM64" i="31"/>
  <c r="CM110" i="31" s="1"/>
  <c r="CO76" i="31"/>
  <c r="CO65" i="31"/>
  <c r="CO111" i="31" s="1"/>
  <c r="AV66" i="31"/>
  <c r="AV77" i="31"/>
  <c r="CI66" i="31"/>
  <c r="CI77" i="31"/>
  <c r="AX78" i="31"/>
  <c r="AX67" i="31"/>
  <c r="DM78" i="31"/>
  <c r="DM67" i="31"/>
  <c r="DJ79" i="31"/>
  <c r="DJ68" i="31"/>
  <c r="EB80" i="31"/>
  <c r="EB69" i="31"/>
  <c r="BF66" i="31"/>
  <c r="BF77" i="31"/>
  <c r="R57" i="30"/>
  <c r="O17" i="30"/>
  <c r="CD71" i="31"/>
  <c r="CD60" i="31"/>
  <c r="CD106" i="31" s="1"/>
  <c r="CL71" i="31"/>
  <c r="CT71" i="31"/>
  <c r="DF71" i="31"/>
  <c r="DF60" i="31"/>
  <c r="DN71" i="31"/>
  <c r="DN60" i="31"/>
  <c r="DV71" i="31"/>
  <c r="DV60" i="31"/>
  <c r="BI72" i="31"/>
  <c r="BI61" i="31"/>
  <c r="BI107" i="31" s="1"/>
  <c r="BQ61" i="31"/>
  <c r="BQ107" i="31" s="1"/>
  <c r="CF61" i="31"/>
  <c r="CF107" i="31" s="1"/>
  <c r="DH72" i="31"/>
  <c r="DH61" i="31"/>
  <c r="DP72" i="31"/>
  <c r="DP61" i="31"/>
  <c r="DX72" i="31"/>
  <c r="DX61" i="31"/>
  <c r="CP62" i="31"/>
  <c r="CP108" i="31" s="1"/>
  <c r="CP73" i="31"/>
  <c r="CX62" i="31"/>
  <c r="CX108" i="31" s="1"/>
  <c r="CX73" i="31"/>
  <c r="DJ62" i="31"/>
  <c r="DJ73" i="31"/>
  <c r="DR62" i="31"/>
  <c r="DR73" i="31"/>
  <c r="DZ62" i="31"/>
  <c r="DZ73" i="31"/>
  <c r="AY80" i="31"/>
  <c r="AY69" i="31"/>
  <c r="AY115" i="31" s="1"/>
  <c r="BG80" i="31"/>
  <c r="BG69" i="31"/>
  <c r="BG115" i="31" s="1"/>
  <c r="BO80" i="31"/>
  <c r="BO69" i="31"/>
  <c r="BO115" i="31" s="1"/>
  <c r="CD80" i="31"/>
  <c r="CD69" i="31"/>
  <c r="CL80" i="31"/>
  <c r="CL69" i="31"/>
  <c r="CT80" i="31"/>
  <c r="CT69" i="31"/>
  <c r="DF80" i="31"/>
  <c r="DF69" i="31"/>
  <c r="DN80" i="31"/>
  <c r="DN69" i="31"/>
  <c r="DV80" i="31"/>
  <c r="DV69" i="31"/>
  <c r="AW60" i="31"/>
  <c r="AW106" i="31" s="1"/>
  <c r="DT71" i="31"/>
  <c r="DT60" i="31"/>
  <c r="BM72" i="31"/>
  <c r="BM61" i="31"/>
  <c r="BM107" i="31" s="1"/>
  <c r="C252" i="33"/>
  <c r="D252" i="33" s="1"/>
  <c r="B96" i="31"/>
  <c r="D96" i="31" s="1"/>
  <c r="CR62" i="31"/>
  <c r="CR108" i="31" s="1"/>
  <c r="CR73" i="31"/>
  <c r="DL74" i="31"/>
  <c r="DL63" i="31"/>
  <c r="CO75" i="31"/>
  <c r="CO64" i="31"/>
  <c r="CO110" i="31" s="1"/>
  <c r="AV76" i="31"/>
  <c r="AV65" i="31"/>
  <c r="DS76" i="31"/>
  <c r="DS65" i="31"/>
  <c r="CC66" i="31"/>
  <c r="CC77" i="31"/>
  <c r="DO67" i="31"/>
  <c r="DO78" i="31"/>
  <c r="CR68" i="31"/>
  <c r="CR79" i="31"/>
  <c r="BR69" i="31"/>
  <c r="BR115" i="31" s="1"/>
  <c r="BR80" i="31"/>
  <c r="BK33" i="31"/>
  <c r="AT106" i="31"/>
  <c r="AT71" i="31"/>
  <c r="DN99" i="31"/>
  <c r="DN100" i="31" s="1"/>
  <c r="DN101" i="31" s="1"/>
  <c r="DV99" i="31"/>
  <c r="DV100" i="31" s="1"/>
  <c r="DV101" i="31" s="1"/>
  <c r="AX60" i="31"/>
  <c r="AX106" i="31" s="1"/>
  <c r="DU60" i="31"/>
  <c r="DI61" i="31"/>
  <c r="DM62" i="31"/>
  <c r="CM66" i="31"/>
  <c r="BP74" i="31"/>
  <c r="BC80" i="31"/>
  <c r="G2" i="30"/>
  <c r="W2" i="30"/>
  <c r="C183" i="33"/>
  <c r="C185" i="33" s="1"/>
  <c r="D185" i="33" s="1"/>
  <c r="T234" i="32"/>
  <c r="T272" i="32" s="1"/>
  <c r="B83" i="31"/>
  <c r="CD72" i="31"/>
  <c r="CD61" i="31"/>
  <c r="CD107" i="31" s="1"/>
  <c r="DV61" i="31"/>
  <c r="DV72" i="31"/>
  <c r="CN73" i="31"/>
  <c r="CN62" i="31"/>
  <c r="CN108" i="31" s="1"/>
  <c r="DX73" i="31"/>
  <c r="DX62" i="31"/>
  <c r="DJ74" i="31"/>
  <c r="DJ63" i="31"/>
  <c r="CE75" i="31"/>
  <c r="CE64" i="31"/>
  <c r="CE110" i="31" s="1"/>
  <c r="BR76" i="31"/>
  <c r="BR65" i="31"/>
  <c r="EA66" i="31"/>
  <c r="EA77" i="31"/>
  <c r="CS78" i="31"/>
  <c r="CS67" i="31"/>
  <c r="BK79" i="31"/>
  <c r="BK68" i="31"/>
  <c r="CH79" i="31"/>
  <c r="CH68" i="31"/>
  <c r="DZ79" i="31"/>
  <c r="DZ68" i="31"/>
  <c r="CB80" i="31"/>
  <c r="CB69" i="31"/>
  <c r="CR80" i="31"/>
  <c r="CR69" i="31"/>
  <c r="AW61" i="31"/>
  <c r="AW107" i="31" s="1"/>
  <c r="CR63" i="31"/>
  <c r="CR109" i="31" s="1"/>
  <c r="CU67" i="31"/>
  <c r="CU78" i="31"/>
  <c r="BQ35" i="31"/>
  <c r="BI35" i="31"/>
  <c r="BA35" i="31"/>
  <c r="BP35" i="31"/>
  <c r="BH35" i="31"/>
  <c r="AZ35" i="31"/>
  <c r="BO35" i="31"/>
  <c r="BG35" i="31"/>
  <c r="AY35" i="31"/>
  <c r="BN35" i="31"/>
  <c r="BF35" i="31"/>
  <c r="AX35" i="31"/>
  <c r="BM35" i="31"/>
  <c r="BE35" i="31"/>
  <c r="AW35" i="31"/>
  <c r="BL35" i="31"/>
  <c r="BD35" i="31"/>
  <c r="AV35" i="31"/>
  <c r="BR35" i="31"/>
  <c r="BJ35" i="31"/>
  <c r="BB35" i="31"/>
  <c r="CE71" i="31"/>
  <c r="CE60" i="31"/>
  <c r="CE106" i="31" s="1"/>
  <c r="CM71" i="31"/>
  <c r="CM60" i="31"/>
  <c r="CM106" i="31" s="1"/>
  <c r="CU71" i="31"/>
  <c r="CU60" i="31"/>
  <c r="CU106" i="31" s="1"/>
  <c r="DG71" i="31"/>
  <c r="DG60" i="31"/>
  <c r="DO71" i="31"/>
  <c r="DO60" i="31"/>
  <c r="DW71" i="31"/>
  <c r="DW60" i="31"/>
  <c r="AV62" i="31"/>
  <c r="AV108" i="31" s="1"/>
  <c r="CQ62" i="31"/>
  <c r="CQ108" i="31" s="1"/>
  <c r="CQ73" i="31"/>
  <c r="CY62" i="31"/>
  <c r="CY108" i="31" s="1"/>
  <c r="CY73" i="31"/>
  <c r="DK62" i="31"/>
  <c r="DK73" i="31"/>
  <c r="DS62" i="31"/>
  <c r="DS73" i="31"/>
  <c r="EA62" i="31"/>
  <c r="EA73" i="31"/>
  <c r="AX63" i="31"/>
  <c r="AX109" i="31" s="1"/>
  <c r="BF74" i="31"/>
  <c r="BF63" i="31"/>
  <c r="BF109" i="31" s="1"/>
  <c r="BN74" i="31"/>
  <c r="BN63" i="31"/>
  <c r="BN109" i="31" s="1"/>
  <c r="CC74" i="31"/>
  <c r="CC63" i="31"/>
  <c r="CC109" i="31" s="1"/>
  <c r="CK74" i="31"/>
  <c r="CK63" i="31"/>
  <c r="CK109" i="31" s="1"/>
  <c r="CS74" i="31"/>
  <c r="CS63" i="31"/>
  <c r="CS109" i="31" s="1"/>
  <c r="DE74" i="31"/>
  <c r="DE63" i="31"/>
  <c r="DM74" i="31"/>
  <c r="DM82" i="31" s="1"/>
  <c r="DM63" i="31"/>
  <c r="DU74" i="31"/>
  <c r="DU63" i="31"/>
  <c r="BC64" i="31"/>
  <c r="BC75" i="31"/>
  <c r="BK64" i="31"/>
  <c r="BK75" i="31"/>
  <c r="BS64" i="31"/>
  <c r="BS75" i="31"/>
  <c r="CH64" i="31"/>
  <c r="CH110" i="31" s="1"/>
  <c r="CH75" i="31"/>
  <c r="CP64" i="31"/>
  <c r="CP110" i="31" s="1"/>
  <c r="CP75" i="31"/>
  <c r="CX64" i="31"/>
  <c r="CX110" i="31" s="1"/>
  <c r="CX75" i="31"/>
  <c r="DJ64" i="31"/>
  <c r="DJ75" i="31"/>
  <c r="DR64" i="31"/>
  <c r="DR75" i="31"/>
  <c r="DZ64" i="31"/>
  <c r="DZ75" i="31"/>
  <c r="AW76" i="31"/>
  <c r="AW65" i="31"/>
  <c r="BE76" i="31"/>
  <c r="BE65" i="31"/>
  <c r="BM76" i="31"/>
  <c r="BM65" i="31"/>
  <c r="CB76" i="31"/>
  <c r="CB65" i="31"/>
  <c r="CB111" i="31" s="1"/>
  <c r="CJ76" i="31"/>
  <c r="CJ65" i="31"/>
  <c r="CJ111" i="31" s="1"/>
  <c r="CR76" i="31"/>
  <c r="CR65" i="31"/>
  <c r="CR111" i="31" s="1"/>
  <c r="DL76" i="31"/>
  <c r="DL65" i="31"/>
  <c r="DT76" i="31"/>
  <c r="DT65" i="31"/>
  <c r="EB76" i="31"/>
  <c r="EB65" i="31"/>
  <c r="AY77" i="31"/>
  <c r="AY66" i="31"/>
  <c r="BG77" i="31"/>
  <c r="BG66" i="31"/>
  <c r="BO77" i="31"/>
  <c r="BO66" i="31"/>
  <c r="CD77" i="31"/>
  <c r="CD66" i="31"/>
  <c r="CL77" i="31"/>
  <c r="CL66" i="31"/>
  <c r="CT77" i="31"/>
  <c r="CT66" i="31"/>
  <c r="DF77" i="31"/>
  <c r="DF66" i="31"/>
  <c r="DN77" i="31"/>
  <c r="DN66" i="31"/>
  <c r="DV77" i="31"/>
  <c r="DV66" i="31"/>
  <c r="BA67" i="31"/>
  <c r="BA78" i="31"/>
  <c r="BI67" i="31"/>
  <c r="BI78" i="31"/>
  <c r="BQ67" i="31"/>
  <c r="BQ78" i="31"/>
  <c r="CN67" i="31"/>
  <c r="CN78" i="31"/>
  <c r="CV67" i="31"/>
  <c r="CV78" i="31"/>
  <c r="DH67" i="31"/>
  <c r="DH78" i="31"/>
  <c r="DP67" i="31"/>
  <c r="DP78" i="31"/>
  <c r="DX67" i="31"/>
  <c r="DX78" i="31"/>
  <c r="AX68" i="31"/>
  <c r="AX79" i="31"/>
  <c r="BF68" i="31"/>
  <c r="BF79" i="31"/>
  <c r="CC68" i="31"/>
  <c r="CC79" i="31"/>
  <c r="CK68" i="31"/>
  <c r="CK79" i="31"/>
  <c r="CS68" i="31"/>
  <c r="CS79" i="31"/>
  <c r="DE68" i="31"/>
  <c r="DE79" i="31"/>
  <c r="DM68" i="31"/>
  <c r="DM79" i="31"/>
  <c r="DU68" i="31"/>
  <c r="DU79" i="31"/>
  <c r="AZ80" i="31"/>
  <c r="AZ69" i="31"/>
  <c r="AZ115" i="31" s="1"/>
  <c r="BH80" i="31"/>
  <c r="BH69" i="31"/>
  <c r="BH115" i="31" s="1"/>
  <c r="BP80" i="31"/>
  <c r="BP69" i="31"/>
  <c r="BP115" i="31" s="1"/>
  <c r="CE80" i="31"/>
  <c r="CE69" i="31"/>
  <c r="CM80" i="31"/>
  <c r="CM69" i="31"/>
  <c r="CU80" i="31"/>
  <c r="CU69" i="31"/>
  <c r="DG80" i="31"/>
  <c r="DG69" i="31"/>
  <c r="DO80" i="31"/>
  <c r="DO69" i="31"/>
  <c r="DW80" i="31"/>
  <c r="DW69" i="31"/>
  <c r="EB71" i="31"/>
  <c r="EB60" i="31"/>
  <c r="CB61" i="31"/>
  <c r="CB107" i="31" s="1"/>
  <c r="AW74" i="31"/>
  <c r="AW63" i="31"/>
  <c r="AW109" i="31" s="1"/>
  <c r="DT74" i="31"/>
  <c r="DT63" i="31"/>
  <c r="CW75" i="31"/>
  <c r="CW64" i="31"/>
  <c r="CW110" i="31" s="1"/>
  <c r="BD76" i="31"/>
  <c r="BD65" i="31"/>
  <c r="EA76" i="31"/>
  <c r="EA65" i="31"/>
  <c r="CK66" i="31"/>
  <c r="CK77" i="31"/>
  <c r="AZ67" i="31"/>
  <c r="AZ78" i="31"/>
  <c r="DW67" i="31"/>
  <c r="DW78" i="31"/>
  <c r="CG69" i="31"/>
  <c r="CG80" i="31"/>
  <c r="BS33" i="31"/>
  <c r="CW34" i="31"/>
  <c r="CO34" i="31"/>
  <c r="CG34" i="31"/>
  <c r="CV34" i="31"/>
  <c r="CN34" i="31"/>
  <c r="CF34" i="31"/>
  <c r="CU34" i="31"/>
  <c r="CM34" i="31"/>
  <c r="CE34" i="31"/>
  <c r="CT34" i="31"/>
  <c r="CL34" i="31"/>
  <c r="CD34" i="31"/>
  <c r="CS34" i="31"/>
  <c r="CK34" i="31"/>
  <c r="CC34" i="31"/>
  <c r="CR34" i="31"/>
  <c r="CJ34" i="31"/>
  <c r="CB34" i="31"/>
  <c r="CX34" i="31"/>
  <c r="CP34" i="31"/>
  <c r="CH34" i="31"/>
  <c r="BS35" i="31"/>
  <c r="AT72" i="31"/>
  <c r="AT107" i="31"/>
  <c r="AT112" i="31"/>
  <c r="AT77" i="31"/>
  <c r="BF60" i="31"/>
  <c r="BF106" i="31" s="1"/>
  <c r="C272" i="33"/>
  <c r="B107" i="31"/>
  <c r="B124" i="31" s="1"/>
  <c r="DQ61" i="31"/>
  <c r="CB67" i="31"/>
  <c r="DZ80" i="31"/>
  <c r="DC106" i="31"/>
  <c r="DC71" i="31"/>
  <c r="BO72" i="31"/>
  <c r="BO61" i="31"/>
  <c r="BO107" i="31" s="1"/>
  <c r="DN61" i="31"/>
  <c r="DN72" i="31"/>
  <c r="DH73" i="31"/>
  <c r="DH62" i="31"/>
  <c r="CP74" i="31"/>
  <c r="CP63" i="31"/>
  <c r="CP109" i="31" s="1"/>
  <c r="BH75" i="31"/>
  <c r="BH64" i="31"/>
  <c r="DG75" i="31"/>
  <c r="DG64" i="31"/>
  <c r="BJ76" i="31"/>
  <c r="BJ65" i="31"/>
  <c r="CW76" i="31"/>
  <c r="CW65" i="31"/>
  <c r="CW111" i="31" s="1"/>
  <c r="BD66" i="31"/>
  <c r="BD77" i="31"/>
  <c r="DK66" i="31"/>
  <c r="DK77" i="31"/>
  <c r="CC78" i="31"/>
  <c r="CC67" i="31"/>
  <c r="DU78" i="31"/>
  <c r="DU67" i="31"/>
  <c r="CP79" i="31"/>
  <c r="CP68" i="31"/>
  <c r="AW80" i="31"/>
  <c r="AW69" i="31"/>
  <c r="AW115" i="31" s="1"/>
  <c r="CJ80" i="31"/>
  <c r="CJ69" i="31"/>
  <c r="DT80" i="31"/>
  <c r="DT69" i="31"/>
  <c r="DT72" i="31"/>
  <c r="DT61" i="31"/>
  <c r="CB68" i="31"/>
  <c r="CB79" i="31"/>
  <c r="D58" i="30"/>
  <c r="T58" i="30"/>
  <c r="D59" i="30"/>
  <c r="D61" i="30"/>
  <c r="D48" i="30" s="1"/>
  <c r="G15" i="30"/>
  <c r="DH71" i="31"/>
  <c r="DH60" i="31"/>
  <c r="DP71" i="31"/>
  <c r="DP60" i="31"/>
  <c r="DX71" i="31"/>
  <c r="DX60" i="31"/>
  <c r="BK72" i="31"/>
  <c r="BK61" i="31"/>
  <c r="BK107" i="31" s="1"/>
  <c r="BS61" i="31"/>
  <c r="BS107" i="31" s="1"/>
  <c r="CX61" i="31"/>
  <c r="CX107" i="31" s="1"/>
  <c r="DJ72" i="31"/>
  <c r="DJ61" i="31"/>
  <c r="DR72" i="31"/>
  <c r="DR61" i="31"/>
  <c r="DZ72" i="31"/>
  <c r="DZ61" i="31"/>
  <c r="AY63" i="31"/>
  <c r="AY109" i="31" s="1"/>
  <c r="AY74" i="31"/>
  <c r="BG63" i="31"/>
  <c r="BG109" i="31" s="1"/>
  <c r="BG74" i="31"/>
  <c r="BO63" i="31"/>
  <c r="BO109" i="31" s="1"/>
  <c r="BO74" i="31"/>
  <c r="CD63" i="31"/>
  <c r="CD109" i="31" s="1"/>
  <c r="CD74" i="31"/>
  <c r="CL63" i="31"/>
  <c r="CL109" i="31" s="1"/>
  <c r="CL74" i="31"/>
  <c r="CT63" i="31"/>
  <c r="CT109" i="31" s="1"/>
  <c r="CT74" i="31"/>
  <c r="DF63" i="31"/>
  <c r="DF74" i="31"/>
  <c r="DN63" i="31"/>
  <c r="DN74" i="31"/>
  <c r="DV63" i="31"/>
  <c r="DV74" i="31"/>
  <c r="AV64" i="31"/>
  <c r="AV75" i="31"/>
  <c r="BD64" i="31"/>
  <c r="BD75" i="31"/>
  <c r="BL64" i="31"/>
  <c r="BL75" i="31"/>
  <c r="CI64" i="31"/>
  <c r="CI110" i="31" s="1"/>
  <c r="CI75" i="31"/>
  <c r="CQ64" i="31"/>
  <c r="CQ110" i="31" s="1"/>
  <c r="CQ75" i="31"/>
  <c r="DK64" i="31"/>
  <c r="DK75" i="31"/>
  <c r="DS64" i="31"/>
  <c r="DS75" i="31"/>
  <c r="EA64" i="31"/>
  <c r="EA75" i="31"/>
  <c r="AX76" i="31"/>
  <c r="AX65" i="31"/>
  <c r="BF76" i="31"/>
  <c r="BF65" i="31"/>
  <c r="BN76" i="31"/>
  <c r="BN65" i="31"/>
  <c r="CC76" i="31"/>
  <c r="CC65" i="31"/>
  <c r="CC111" i="31" s="1"/>
  <c r="CK76" i="31"/>
  <c r="CK65" i="31"/>
  <c r="CK111" i="31" s="1"/>
  <c r="CS76" i="31"/>
  <c r="CS65" i="31"/>
  <c r="CS111" i="31" s="1"/>
  <c r="DE76" i="31"/>
  <c r="DE65" i="31"/>
  <c r="DM76" i="31"/>
  <c r="DM65" i="31"/>
  <c r="DU76" i="31"/>
  <c r="DU65" i="31"/>
  <c r="AZ77" i="31"/>
  <c r="AZ66" i="31"/>
  <c r="BH77" i="31"/>
  <c r="BH66" i="31"/>
  <c r="BP77" i="31"/>
  <c r="BP66" i="31"/>
  <c r="CE77" i="31"/>
  <c r="CE66" i="31"/>
  <c r="CU77" i="31"/>
  <c r="CU66" i="31"/>
  <c r="DG77" i="31"/>
  <c r="DG66" i="31"/>
  <c r="DO77" i="31"/>
  <c r="DO66" i="31"/>
  <c r="DW77" i="31"/>
  <c r="DW66" i="31"/>
  <c r="BB67" i="31"/>
  <c r="BB78" i="31"/>
  <c r="BJ67" i="31"/>
  <c r="BJ78" i="31"/>
  <c r="BR67" i="31"/>
  <c r="BR78" i="31"/>
  <c r="CG67" i="31"/>
  <c r="CG78" i="31"/>
  <c r="CO67" i="31"/>
  <c r="CO78" i="31"/>
  <c r="CW67" i="31"/>
  <c r="CW78" i="31"/>
  <c r="DI67" i="31"/>
  <c r="DI78" i="31"/>
  <c r="DQ67" i="31"/>
  <c r="DQ78" i="31"/>
  <c r="DY67" i="31"/>
  <c r="DY78" i="31"/>
  <c r="AY68" i="31"/>
  <c r="AY79" i="31"/>
  <c r="BG68" i="31"/>
  <c r="BG79" i="31"/>
  <c r="BO68" i="31"/>
  <c r="BO79" i="31"/>
  <c r="CD68" i="31"/>
  <c r="CD79" i="31"/>
  <c r="CL68" i="31"/>
  <c r="CL79" i="31"/>
  <c r="CT68" i="31"/>
  <c r="CT79" i="31"/>
  <c r="DF68" i="31"/>
  <c r="DF79" i="31"/>
  <c r="DN68" i="31"/>
  <c r="DN79" i="31"/>
  <c r="DV68" i="31"/>
  <c r="DV79" i="31"/>
  <c r="BA80" i="31"/>
  <c r="BA69" i="31"/>
  <c r="BA115" i="31" s="1"/>
  <c r="BI80" i="31"/>
  <c r="BI69" i="31"/>
  <c r="BI115" i="31" s="1"/>
  <c r="BQ80" i="31"/>
  <c r="BQ69" i="31"/>
  <c r="BQ115" i="31" s="1"/>
  <c r="CF80" i="31"/>
  <c r="CF69" i="31"/>
  <c r="CN80" i="31"/>
  <c r="CN69" i="31"/>
  <c r="CV80" i="31"/>
  <c r="CV69" i="31"/>
  <c r="DH80" i="31"/>
  <c r="DH69" i="31"/>
  <c r="DP80" i="31"/>
  <c r="DP69" i="31"/>
  <c r="DX80" i="31"/>
  <c r="DX69" i="31"/>
  <c r="AK191" i="33"/>
  <c r="AO191" i="33" s="1"/>
  <c r="C251" i="33"/>
  <c r="D251" i="33" s="1"/>
  <c r="T247" i="32"/>
  <c r="X247" i="32" s="1"/>
  <c r="B95" i="31"/>
  <c r="D95" i="31" s="1"/>
  <c r="DL62" i="31"/>
  <c r="DL73" i="31"/>
  <c r="BE74" i="31"/>
  <c r="BE63" i="31"/>
  <c r="BE109" i="31" s="1"/>
  <c r="EB74" i="31"/>
  <c r="EB63" i="31"/>
  <c r="DI75" i="31"/>
  <c r="DI64" i="31"/>
  <c r="BL76" i="31"/>
  <c r="BL65" i="31"/>
  <c r="CS66" i="31"/>
  <c r="CS77" i="31"/>
  <c r="BH67" i="31"/>
  <c r="BH78" i="31"/>
  <c r="DL68" i="31"/>
  <c r="DL79" i="31"/>
  <c r="CO69" i="31"/>
  <c r="CO80" i="31"/>
  <c r="AT92" i="31"/>
  <c r="AT17" i="31"/>
  <c r="AT6" i="31"/>
  <c r="CY31" i="31"/>
  <c r="CI34" i="31"/>
  <c r="AT113" i="31"/>
  <c r="AT78" i="31"/>
  <c r="BN60" i="31"/>
  <c r="BN106" i="31" s="1"/>
  <c r="DY61" i="31"/>
  <c r="BS63" i="31"/>
  <c r="BS109" i="31" s="1"/>
  <c r="BJ68" i="31"/>
  <c r="CY75" i="31"/>
  <c r="AZ75" i="31"/>
  <c r="AZ64" i="31"/>
  <c r="DW75" i="31"/>
  <c r="DW64" i="31"/>
  <c r="DY76" i="31"/>
  <c r="DY65" i="31"/>
  <c r="BF78" i="31"/>
  <c r="BF67" i="31"/>
  <c r="BE80" i="31"/>
  <c r="BE69" i="31"/>
  <c r="BE115" i="31" s="1"/>
  <c r="CG71" i="31"/>
  <c r="CG60" i="31"/>
  <c r="CG106" i="31" s="1"/>
  <c r="CO71" i="31"/>
  <c r="CO60" i="31"/>
  <c r="CO106" i="31" s="1"/>
  <c r="CW71" i="31"/>
  <c r="CW60" i="31"/>
  <c r="CW106" i="31" s="1"/>
  <c r="DI71" i="31"/>
  <c r="DI60" i="31"/>
  <c r="DQ71" i="31"/>
  <c r="DQ60" i="31"/>
  <c r="DY71" i="31"/>
  <c r="DY60" i="31"/>
  <c r="AV61" i="31"/>
  <c r="AV107" i="31" s="1"/>
  <c r="BL72" i="31"/>
  <c r="BL61" i="31"/>
  <c r="BL107" i="31" s="1"/>
  <c r="CY61" i="31"/>
  <c r="CY107" i="31" s="1"/>
  <c r="DK72" i="31"/>
  <c r="DK61" i="31"/>
  <c r="DS72" i="31"/>
  <c r="DS61" i="31"/>
  <c r="EA72" i="31"/>
  <c r="EA61" i="31"/>
  <c r="CC73" i="31"/>
  <c r="CC62" i="31"/>
  <c r="CC108" i="31" s="1"/>
  <c r="CK73" i="31"/>
  <c r="CK62" i="31"/>
  <c r="CK108" i="31" s="1"/>
  <c r="CS73" i="31"/>
  <c r="CS62" i="31"/>
  <c r="CS108" i="31" s="1"/>
  <c r="DE73" i="31"/>
  <c r="DE62" i="31"/>
  <c r="DU73" i="31"/>
  <c r="DU62" i="31"/>
  <c r="AZ63" i="31"/>
  <c r="AZ109" i="31" s="1"/>
  <c r="AZ74" i="31"/>
  <c r="BH63" i="31"/>
  <c r="BH109" i="31" s="1"/>
  <c r="BH74" i="31"/>
  <c r="CE63" i="31"/>
  <c r="CE109" i="31" s="1"/>
  <c r="CE74" i="31"/>
  <c r="CM63" i="31"/>
  <c r="CM109" i="31" s="1"/>
  <c r="CM74" i="31"/>
  <c r="CU63" i="31"/>
  <c r="CU109" i="31" s="1"/>
  <c r="CU74" i="31"/>
  <c r="DG63" i="31"/>
  <c r="DG74" i="31"/>
  <c r="DO63" i="31"/>
  <c r="DO74" i="31"/>
  <c r="DW63" i="31"/>
  <c r="DW74" i="31"/>
  <c r="AW64" i="31"/>
  <c r="AW75" i="31"/>
  <c r="BE64" i="31"/>
  <c r="BE75" i="31"/>
  <c r="BM64" i="31"/>
  <c r="BM75" i="31"/>
  <c r="CB64" i="31"/>
  <c r="CB110" i="31" s="1"/>
  <c r="CB75" i="31"/>
  <c r="CJ64" i="31"/>
  <c r="CJ110" i="31" s="1"/>
  <c r="CJ75" i="31"/>
  <c r="CR64" i="31"/>
  <c r="CR110" i="31" s="1"/>
  <c r="CR75" i="31"/>
  <c r="DL64" i="31"/>
  <c r="DL75" i="31"/>
  <c r="DT64" i="31"/>
  <c r="DT75" i="31"/>
  <c r="EB64" i="31"/>
  <c r="EB75" i="31"/>
  <c r="AY65" i="31"/>
  <c r="AY76" i="31"/>
  <c r="BG65" i="31"/>
  <c r="BG76" i="31"/>
  <c r="BO65" i="31"/>
  <c r="BO76" i="31"/>
  <c r="CD65" i="31"/>
  <c r="CD111" i="31" s="1"/>
  <c r="CD76" i="31"/>
  <c r="CL65" i="31"/>
  <c r="CL111" i="31" s="1"/>
  <c r="CL76" i="31"/>
  <c r="CT65" i="31"/>
  <c r="CT111" i="31" s="1"/>
  <c r="CT76" i="31"/>
  <c r="DF65" i="31"/>
  <c r="DF76" i="31"/>
  <c r="DN65" i="31"/>
  <c r="DN76" i="31"/>
  <c r="DV65" i="31"/>
  <c r="DV76" i="31"/>
  <c r="BA77" i="31"/>
  <c r="BA66" i="31"/>
  <c r="BI77" i="31"/>
  <c r="BI66" i="31"/>
  <c r="BQ77" i="31"/>
  <c r="BQ66" i="31"/>
  <c r="CF77" i="31"/>
  <c r="CF66" i="31"/>
  <c r="CN77" i="31"/>
  <c r="CN66" i="31"/>
  <c r="CV77" i="31"/>
  <c r="CV66" i="31"/>
  <c r="DH77" i="31"/>
  <c r="DH66" i="31"/>
  <c r="DP77" i="31"/>
  <c r="DP66" i="31"/>
  <c r="DX77" i="31"/>
  <c r="DX66" i="31"/>
  <c r="BC67" i="31"/>
  <c r="BC78" i="31"/>
  <c r="BK67" i="31"/>
  <c r="BK78" i="31"/>
  <c r="BS67" i="31"/>
  <c r="BS78" i="31"/>
  <c r="CH67" i="31"/>
  <c r="CH78" i="31"/>
  <c r="CP67" i="31"/>
  <c r="CP78" i="31"/>
  <c r="CX67" i="31"/>
  <c r="CX78" i="31"/>
  <c r="DJ67" i="31"/>
  <c r="DJ78" i="31"/>
  <c r="DR67" i="31"/>
  <c r="DR78" i="31"/>
  <c r="DZ67" i="31"/>
  <c r="DZ78" i="31"/>
  <c r="AZ68" i="31"/>
  <c r="AZ79" i="31"/>
  <c r="BH68" i="31"/>
  <c r="BH79" i="31"/>
  <c r="BP68" i="31"/>
  <c r="BP79" i="31"/>
  <c r="CE68" i="31"/>
  <c r="CE79" i="31"/>
  <c r="CM68" i="31"/>
  <c r="CM79" i="31"/>
  <c r="CU68" i="31"/>
  <c r="CU79" i="31"/>
  <c r="DG68" i="31"/>
  <c r="DG79" i="31"/>
  <c r="DO68" i="31"/>
  <c r="DO79" i="31"/>
  <c r="DW68" i="31"/>
  <c r="DW79" i="31"/>
  <c r="CB71" i="31"/>
  <c r="CB60" i="31"/>
  <c r="CB106" i="31" s="1"/>
  <c r="CR72" i="31"/>
  <c r="CR61" i="31"/>
  <c r="CR107" i="31" s="1"/>
  <c r="AW73" i="31"/>
  <c r="AW62" i="31"/>
  <c r="AW108" i="31" s="1"/>
  <c r="DT62" i="31"/>
  <c r="DT73" i="31"/>
  <c r="BM74" i="31"/>
  <c r="BM63" i="31"/>
  <c r="BM109" i="31" s="1"/>
  <c r="DQ75" i="31"/>
  <c r="DQ64" i="31"/>
  <c r="DE66" i="31"/>
  <c r="DE77" i="31"/>
  <c r="BP67" i="31"/>
  <c r="BP78" i="31"/>
  <c r="AW68" i="31"/>
  <c r="AW79" i="31"/>
  <c r="DT68" i="31"/>
  <c r="DT79" i="31"/>
  <c r="CW69" i="31"/>
  <c r="CW80" i="31"/>
  <c r="CQ34" i="31"/>
  <c r="AT108" i="31"/>
  <c r="AT73" i="31"/>
  <c r="AT114" i="31"/>
  <c r="AT79" i="31"/>
  <c r="CC60" i="31"/>
  <c r="CC106" i="31" s="1"/>
  <c r="BJ61" i="31"/>
  <c r="BJ107" i="31" s="1"/>
  <c r="AX69" i="31"/>
  <c r="AX115" i="31" s="1"/>
  <c r="BH76" i="31"/>
  <c r="DP73" i="31"/>
  <c r="DP62" i="31"/>
  <c r="CH74" i="31"/>
  <c r="CH63" i="31"/>
  <c r="CH109" i="31" s="1"/>
  <c r="DZ74" i="31"/>
  <c r="DZ63" i="31"/>
  <c r="CU75" i="31"/>
  <c r="CU64" i="31"/>
  <c r="CU110" i="31" s="1"/>
  <c r="BB76" i="31"/>
  <c r="BB65" i="31"/>
  <c r="DI76" i="31"/>
  <c r="DI65" i="31"/>
  <c r="BL66" i="31"/>
  <c r="BL77" i="31"/>
  <c r="CY66" i="31"/>
  <c r="CY77" i="31"/>
  <c r="BN78" i="31"/>
  <c r="BN67" i="31"/>
  <c r="DE78" i="31"/>
  <c r="DE67" i="31"/>
  <c r="BS79" i="31"/>
  <c r="BS68" i="31"/>
  <c r="DR79" i="31"/>
  <c r="DR68" i="31"/>
  <c r="BM80" i="31"/>
  <c r="BM69" i="31"/>
  <c r="BM115" i="31" s="1"/>
  <c r="DL80" i="31"/>
  <c r="DL69" i="31"/>
  <c r="CB73" i="31"/>
  <c r="CB62" i="31"/>
  <c r="CB108" i="31" s="1"/>
  <c r="CY76" i="31"/>
  <c r="CY65" i="31"/>
  <c r="CY111" i="31" s="1"/>
  <c r="DY69" i="31"/>
  <c r="DY80" i="31"/>
  <c r="AT110" i="31"/>
  <c r="AT75" i="31"/>
  <c r="CT72" i="31"/>
  <c r="BS60" i="31"/>
  <c r="BS106" i="31" s="1"/>
  <c r="CP71" i="31"/>
  <c r="CP60" i="31"/>
  <c r="CP106" i="31" s="1"/>
  <c r="CX60" i="31"/>
  <c r="CX106" i="31" s="1"/>
  <c r="CX71" i="31"/>
  <c r="DR60" i="31"/>
  <c r="DR71" i="31"/>
  <c r="DZ60" i="31"/>
  <c r="DZ71" i="31"/>
  <c r="AY73" i="31"/>
  <c r="AY62" i="31"/>
  <c r="AY108" i="31" s="1"/>
  <c r="BG73" i="31"/>
  <c r="BG62" i="31"/>
  <c r="BG108" i="31" s="1"/>
  <c r="BO73" i="31"/>
  <c r="BO62" i="31"/>
  <c r="BO108" i="31" s="1"/>
  <c r="CD73" i="31"/>
  <c r="CD62" i="31"/>
  <c r="CD108" i="31" s="1"/>
  <c r="CL73" i="31"/>
  <c r="CL62" i="31"/>
  <c r="CL108" i="31" s="1"/>
  <c r="CT73" i="31"/>
  <c r="CT62" i="31"/>
  <c r="CT108" i="31" s="1"/>
  <c r="DF73" i="31"/>
  <c r="DF62" i="31"/>
  <c r="DN73" i="31"/>
  <c r="DN62" i="31"/>
  <c r="DV73" i="31"/>
  <c r="DV62" i="31"/>
  <c r="BA63" i="31"/>
  <c r="BA109" i="31" s="1"/>
  <c r="BA74" i="31"/>
  <c r="BI63" i="31"/>
  <c r="BI109" i="31" s="1"/>
  <c r="BI74" i="31"/>
  <c r="BQ63" i="31"/>
  <c r="BQ109" i="31" s="1"/>
  <c r="BQ74" i="31"/>
  <c r="CF63" i="31"/>
  <c r="CF109" i="31" s="1"/>
  <c r="CF74" i="31"/>
  <c r="CV63" i="31"/>
  <c r="CV109" i="31" s="1"/>
  <c r="CV74" i="31"/>
  <c r="DH63" i="31"/>
  <c r="DH74" i="31"/>
  <c r="DP63" i="31"/>
  <c r="DP74" i="31"/>
  <c r="DX63" i="31"/>
  <c r="DX74" i="31"/>
  <c r="AX75" i="31"/>
  <c r="AX64" i="31"/>
  <c r="BF75" i="31"/>
  <c r="BF64" i="31"/>
  <c r="BN75" i="31"/>
  <c r="BN64" i="31"/>
  <c r="CC75" i="31"/>
  <c r="CC64" i="31"/>
  <c r="CC110" i="31" s="1"/>
  <c r="CK75" i="31"/>
  <c r="CK64" i="31"/>
  <c r="CK110" i="31" s="1"/>
  <c r="CS75" i="31"/>
  <c r="CS64" i="31"/>
  <c r="CS110" i="31" s="1"/>
  <c r="DE75" i="31"/>
  <c r="DE64" i="31"/>
  <c r="DM75" i="31"/>
  <c r="DM64" i="31"/>
  <c r="DU75" i="31"/>
  <c r="DU64" i="31"/>
  <c r="AZ65" i="31"/>
  <c r="AZ76" i="31"/>
  <c r="BP65" i="31"/>
  <c r="BP76" i="31"/>
  <c r="CE65" i="31"/>
  <c r="CE111" i="31" s="1"/>
  <c r="CE76" i="31"/>
  <c r="CM65" i="31"/>
  <c r="CM111" i="31" s="1"/>
  <c r="CM76" i="31"/>
  <c r="CU65" i="31"/>
  <c r="CU111" i="31" s="1"/>
  <c r="CU76" i="31"/>
  <c r="DG65" i="31"/>
  <c r="DG76" i="31"/>
  <c r="DO65" i="31"/>
  <c r="DO76" i="31"/>
  <c r="DW65" i="31"/>
  <c r="DW76" i="31"/>
  <c r="BB77" i="31"/>
  <c r="BB66" i="31"/>
  <c r="BJ77" i="31"/>
  <c r="BJ66" i="31"/>
  <c r="BR77" i="31"/>
  <c r="BR66" i="31"/>
  <c r="CG77" i="31"/>
  <c r="CG66" i="31"/>
  <c r="CO77" i="31"/>
  <c r="CO66" i="31"/>
  <c r="CW77" i="31"/>
  <c r="CW66" i="31"/>
  <c r="DI77" i="31"/>
  <c r="DI66" i="31"/>
  <c r="DQ77" i="31"/>
  <c r="DQ66" i="31"/>
  <c r="DY77" i="31"/>
  <c r="DY66" i="31"/>
  <c r="AV78" i="31"/>
  <c r="AV67" i="31"/>
  <c r="BD78" i="31"/>
  <c r="BD67" i="31"/>
  <c r="BL78" i="31"/>
  <c r="BL67" i="31"/>
  <c r="CI78" i="31"/>
  <c r="CI67" i="31"/>
  <c r="CQ78" i="31"/>
  <c r="CQ67" i="31"/>
  <c r="CY78" i="31"/>
  <c r="CY67" i="31"/>
  <c r="DK78" i="31"/>
  <c r="DK67" i="31"/>
  <c r="DS78" i="31"/>
  <c r="DS67" i="31"/>
  <c r="EA78" i="31"/>
  <c r="EA67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BK69" i="31"/>
  <c r="BK115" i="31" s="1"/>
  <c r="BK80" i="31"/>
  <c r="BS69" i="31"/>
  <c r="BS115" i="31" s="1"/>
  <c r="BS80" i="31"/>
  <c r="CH69" i="31"/>
  <c r="CH80" i="31"/>
  <c r="CP69" i="31"/>
  <c r="CP80" i="31"/>
  <c r="CX69" i="31"/>
  <c r="CX80" i="31"/>
  <c r="DJ69" i="31"/>
  <c r="DJ80" i="31"/>
  <c r="DR69" i="31"/>
  <c r="DR80" i="31"/>
  <c r="BE73" i="31"/>
  <c r="BE62" i="31"/>
  <c r="BE108" i="31" s="1"/>
  <c r="EB62" i="31"/>
  <c r="EB73" i="31"/>
  <c r="CB74" i="31"/>
  <c r="CB63" i="31"/>
  <c r="CB109" i="31" s="1"/>
  <c r="BB75" i="31"/>
  <c r="BB64" i="31"/>
  <c r="DY75" i="31"/>
  <c r="DY64" i="31"/>
  <c r="CI76" i="31"/>
  <c r="CI65" i="31"/>
  <c r="CI111" i="31" s="1"/>
  <c r="DM66" i="31"/>
  <c r="DM77" i="31"/>
  <c r="CE67" i="31"/>
  <c r="CE78" i="31"/>
  <c r="BE68" i="31"/>
  <c r="BE79" i="31"/>
  <c r="EB68" i="31"/>
  <c r="EB79" i="31"/>
  <c r="DI69" i="31"/>
  <c r="DI80" i="31"/>
  <c r="CY34" i="31"/>
  <c r="BG99" i="31"/>
  <c r="BG100" i="31" s="1"/>
  <c r="BG101" i="31" s="1"/>
  <c r="AT115" i="31"/>
  <c r="AT80" i="31"/>
  <c r="BR61" i="31"/>
  <c r="BR107" i="31" s="1"/>
  <c r="AX62" i="31"/>
  <c r="AX108" i="31" s="1"/>
  <c r="AY64" i="31"/>
  <c r="DU69" i="31"/>
  <c r="DC109" i="31"/>
  <c r="DC74" i="31"/>
  <c r="BZ15" i="31"/>
  <c r="BZ48" i="31" s="1"/>
  <c r="BZ16" i="31"/>
  <c r="BZ49" i="31" s="1"/>
  <c r="BZ17" i="31"/>
  <c r="BZ50" i="31" s="1"/>
  <c r="BZ18" i="31"/>
  <c r="BZ51" i="31" s="1"/>
  <c r="DC21" i="31"/>
  <c r="DC54" i="31" s="1"/>
  <c r="AW26" i="31"/>
  <c r="AW71" i="31" s="1"/>
  <c r="BE26" i="31"/>
  <c r="BE60" i="31" s="1"/>
  <c r="BE106" i="31" s="1"/>
  <c r="BM26" i="31"/>
  <c r="BM60" i="31" s="1"/>
  <c r="BM106" i="31" s="1"/>
  <c r="CI26" i="31"/>
  <c r="CI60" i="31" s="1"/>
  <c r="CI106" i="31" s="1"/>
  <c r="CQ26" i="31"/>
  <c r="CY26" i="31"/>
  <c r="CY71" i="31" s="1"/>
  <c r="DJ26" i="31"/>
  <c r="DR26" i="31"/>
  <c r="DZ26" i="31"/>
  <c r="AY27" i="31"/>
  <c r="AY61" i="31" s="1"/>
  <c r="AY107" i="31" s="1"/>
  <c r="BG27" i="31"/>
  <c r="BO27" i="31"/>
  <c r="CC27" i="31"/>
  <c r="CC72" i="31" s="1"/>
  <c r="CK27" i="31"/>
  <c r="CK72" i="31" s="1"/>
  <c r="CS27" i="31"/>
  <c r="CS72" i="31" s="1"/>
  <c r="DL27" i="31"/>
  <c r="DT27" i="31"/>
  <c r="EB27" i="31"/>
  <c r="BA28" i="31"/>
  <c r="BA73" i="31" s="1"/>
  <c r="BI28" i="31"/>
  <c r="BI62" i="31" s="1"/>
  <c r="BI108" i="31" s="1"/>
  <c r="BQ28" i="31"/>
  <c r="BQ73" i="31" s="1"/>
  <c r="CE28" i="31"/>
  <c r="CM28" i="31"/>
  <c r="CM73" i="31" s="1"/>
  <c r="CU28" i="31"/>
  <c r="DF28" i="31"/>
  <c r="DN28" i="31"/>
  <c r="DV28" i="31"/>
  <c r="BC29" i="31"/>
  <c r="BC74" i="31" s="1"/>
  <c r="BK29" i="31"/>
  <c r="BS29" i="31"/>
  <c r="BS74" i="31" s="1"/>
  <c r="CG29" i="31"/>
  <c r="CO29" i="31"/>
  <c r="CO63" i="31" s="1"/>
  <c r="CO109" i="31" s="1"/>
  <c r="CW29" i="31"/>
  <c r="DH29" i="31"/>
  <c r="DP29" i="31"/>
  <c r="DX29" i="31"/>
  <c r="AW30" i="31"/>
  <c r="BE30" i="31"/>
  <c r="BM30" i="31"/>
  <c r="CI30" i="31"/>
  <c r="CQ30" i="31"/>
  <c r="CY30" i="31"/>
  <c r="DJ30" i="31"/>
  <c r="DR30" i="31"/>
  <c r="DZ30" i="31"/>
  <c r="AV31" i="31"/>
  <c r="BD31" i="31"/>
  <c r="BL31" i="31"/>
  <c r="BZ31" i="31"/>
  <c r="BZ95" i="31" s="1"/>
  <c r="DI31" i="31"/>
  <c r="DQ31" i="31"/>
  <c r="DY31" i="31"/>
  <c r="BC32" i="31"/>
  <c r="BK32" i="31"/>
  <c r="BS32" i="31"/>
  <c r="CG32" i="31"/>
  <c r="CO32" i="31"/>
  <c r="CW32" i="31"/>
  <c r="DH32" i="31"/>
  <c r="DP32" i="31"/>
  <c r="DX32" i="31"/>
  <c r="CF33" i="31"/>
  <c r="CN33" i="31"/>
  <c r="CV33" i="31"/>
  <c r="DG33" i="31"/>
  <c r="DO33" i="31"/>
  <c r="DW33" i="31"/>
  <c r="AV34" i="31"/>
  <c r="BD34" i="31"/>
  <c r="BL34" i="31"/>
  <c r="CF35" i="31"/>
  <c r="CN35" i="31"/>
  <c r="CV35" i="31"/>
  <c r="DG35" i="31"/>
  <c r="DO35" i="31"/>
  <c r="DW35" i="31"/>
  <c r="AW99" i="31"/>
  <c r="AW100" i="31" s="1"/>
  <c r="AW101" i="31" s="1"/>
  <c r="BE99" i="31"/>
  <c r="BE100" i="31" s="1"/>
  <c r="BE101" i="31" s="1"/>
  <c r="BM99" i="31"/>
  <c r="BM100" i="31" s="1"/>
  <c r="BM101" i="31" s="1"/>
  <c r="DC37" i="31"/>
  <c r="BZ39" i="31"/>
  <c r="CC99" i="31"/>
  <c r="CK99" i="31"/>
  <c r="CK100" i="31" s="1"/>
  <c r="CK101" i="31" s="1"/>
  <c r="CS99" i="31"/>
  <c r="CS100" i="31" s="1"/>
  <c r="CS101" i="31" s="1"/>
  <c r="DE99" i="31"/>
  <c r="DM99" i="31"/>
  <c r="DM100" i="31" s="1"/>
  <c r="DM101" i="31" s="1"/>
  <c r="DU99" i="31"/>
  <c r="DC44" i="31"/>
  <c r="DC114" i="31"/>
  <c r="DC79" i="31"/>
  <c r="DC20" i="31"/>
  <c r="DC53" i="31" s="1"/>
  <c r="AY26" i="31"/>
  <c r="AY71" i="31" s="1"/>
  <c r="BG26" i="31"/>
  <c r="BG71" i="31" s="1"/>
  <c r="BO26" i="31"/>
  <c r="BO71" i="31" s="1"/>
  <c r="CC26" i="31"/>
  <c r="CC71" i="31" s="1"/>
  <c r="CK26" i="31"/>
  <c r="CS26" i="31"/>
  <c r="CS60" i="31" s="1"/>
  <c r="CS106" i="31" s="1"/>
  <c r="DL26" i="31"/>
  <c r="DT26" i="31"/>
  <c r="EB26" i="31"/>
  <c r="BA27" i="31"/>
  <c r="BA61" i="31" s="1"/>
  <c r="BA107" i="31" s="1"/>
  <c r="BI27" i="31"/>
  <c r="BQ27" i="31"/>
  <c r="BQ72" i="31" s="1"/>
  <c r="CE27" i="31"/>
  <c r="CE72" i="31" s="1"/>
  <c r="CM27" i="31"/>
  <c r="CM72" i="31" s="1"/>
  <c r="CU27" i="31"/>
  <c r="CU72" i="31" s="1"/>
  <c r="DF27" i="31"/>
  <c r="DN27" i="31"/>
  <c r="DV27" i="31"/>
  <c r="BC28" i="31"/>
  <c r="BC73" i="31" s="1"/>
  <c r="BK28" i="31"/>
  <c r="BK73" i="31" s="1"/>
  <c r="BS28" i="31"/>
  <c r="BS62" i="31" s="1"/>
  <c r="BS108" i="31" s="1"/>
  <c r="CG28" i="31"/>
  <c r="CO28" i="31"/>
  <c r="CW28" i="31"/>
  <c r="DH28" i="31"/>
  <c r="DP28" i="31"/>
  <c r="DX28" i="31"/>
  <c r="BM29" i="31"/>
  <c r="CI29" i="31"/>
  <c r="CQ29" i="31"/>
  <c r="CQ74" i="31" s="1"/>
  <c r="CY29" i="31"/>
  <c r="DJ29" i="31"/>
  <c r="DR29" i="31"/>
  <c r="DZ29" i="31"/>
  <c r="AY30" i="31"/>
  <c r="BG30" i="31"/>
  <c r="BO30" i="31"/>
  <c r="CC30" i="31"/>
  <c r="CK30" i="31"/>
  <c r="CS30" i="31"/>
  <c r="DL30" i="31"/>
  <c r="DT30" i="31"/>
  <c r="EB30" i="31"/>
  <c r="AX31" i="31"/>
  <c r="BF31" i="31"/>
  <c r="BN31" i="31"/>
  <c r="DC31" i="31"/>
  <c r="DC95" i="31" s="1"/>
  <c r="DK31" i="31"/>
  <c r="DS31" i="31"/>
  <c r="EA31" i="31"/>
  <c r="AW32" i="31"/>
  <c r="BE32" i="31"/>
  <c r="BM32" i="31"/>
  <c r="CI32" i="31"/>
  <c r="CQ32" i="31"/>
  <c r="CY32" i="31"/>
  <c r="DJ32" i="31"/>
  <c r="DR32" i="31"/>
  <c r="DZ32" i="31"/>
  <c r="BZ33" i="31"/>
  <c r="BZ96" i="31" s="1"/>
  <c r="CH33" i="31"/>
  <c r="CP33" i="31"/>
  <c r="CX33" i="31"/>
  <c r="DI33" i="31"/>
  <c r="DQ33" i="31"/>
  <c r="DY33" i="31"/>
  <c r="AX34" i="31"/>
  <c r="BF34" i="31"/>
  <c r="BN34" i="31"/>
  <c r="DC34" i="31"/>
  <c r="DC97" i="31" s="1"/>
  <c r="DK34" i="31"/>
  <c r="DS34" i="31"/>
  <c r="EA34" i="31"/>
  <c r="BZ35" i="31"/>
  <c r="BZ98" i="31" s="1"/>
  <c r="CH35" i="31"/>
  <c r="CP35" i="31"/>
  <c r="CX35" i="31"/>
  <c r="DI35" i="31"/>
  <c r="DQ35" i="31"/>
  <c r="DY35" i="31"/>
  <c r="AY99" i="31"/>
  <c r="AY100" i="31" s="1"/>
  <c r="AY101" i="31" s="1"/>
  <c r="BO99" i="31"/>
  <c r="BO100" i="31" s="1"/>
  <c r="BO101" i="31" s="1"/>
  <c r="BZ38" i="31"/>
  <c r="CE99" i="31"/>
  <c r="CE100" i="31" s="1"/>
  <c r="CE101" i="31" s="1"/>
  <c r="CM99" i="31"/>
  <c r="CM100" i="31" s="1"/>
  <c r="CM101" i="31" s="1"/>
  <c r="CU99" i="31"/>
  <c r="CU100" i="31" s="1"/>
  <c r="CU101" i="31" s="1"/>
  <c r="DG99" i="31"/>
  <c r="DG100" i="31" s="1"/>
  <c r="DG101" i="31" s="1"/>
  <c r="DO99" i="31"/>
  <c r="DO100" i="31" s="1"/>
  <c r="DO101" i="31" s="1"/>
  <c r="DW99" i="31"/>
  <c r="DC42" i="31"/>
  <c r="F81" i="31"/>
  <c r="B114" i="31" s="1"/>
  <c r="AA169" i="32"/>
  <c r="Z57" i="30"/>
  <c r="R59" i="30"/>
  <c r="BZ108" i="31"/>
  <c r="BZ73" i="31"/>
  <c r="DC110" i="31"/>
  <c r="DC75" i="31"/>
  <c r="DC112" i="31"/>
  <c r="DC77" i="31"/>
  <c r="BZ19" i="31"/>
  <c r="BZ52" i="31" s="1"/>
  <c r="BZ24" i="31"/>
  <c r="BZ57" i="31" s="1"/>
  <c r="AZ26" i="31"/>
  <c r="AZ71" i="31" s="1"/>
  <c r="BH26" i="31"/>
  <c r="BH71" i="31" s="1"/>
  <c r="BP26" i="31"/>
  <c r="BP71" i="31" s="1"/>
  <c r="BB27" i="31"/>
  <c r="BB72" i="31" s="1"/>
  <c r="BJ27" i="31"/>
  <c r="BR27" i="31"/>
  <c r="BR72" i="31" s="1"/>
  <c r="CF27" i="31"/>
  <c r="CF72" i="31" s="1"/>
  <c r="CN27" i="31"/>
  <c r="CN72" i="31" s="1"/>
  <c r="CV27" i="31"/>
  <c r="CV72" i="31" s="1"/>
  <c r="DG27" i="31"/>
  <c r="DO27" i="31"/>
  <c r="DW27" i="31"/>
  <c r="AV28" i="31"/>
  <c r="AV73" i="31" s="1"/>
  <c r="BD28" i="31"/>
  <c r="BD62" i="31" s="1"/>
  <c r="BD108" i="31" s="1"/>
  <c r="BL28" i="31"/>
  <c r="BL62" i="31" s="1"/>
  <c r="BL108" i="31" s="1"/>
  <c r="BZ28" i="31"/>
  <c r="BZ92" i="31" s="1"/>
  <c r="CH28" i="31"/>
  <c r="CP28" i="31"/>
  <c r="CX28" i="31"/>
  <c r="DI28" i="31"/>
  <c r="DQ28" i="31"/>
  <c r="DY28" i="31"/>
  <c r="AX29" i="31"/>
  <c r="AX74" i="31" s="1"/>
  <c r="BF29" i="31"/>
  <c r="BN29" i="31"/>
  <c r="CB29" i="31"/>
  <c r="CJ29" i="31"/>
  <c r="CR29" i="31"/>
  <c r="CR74" i="31" s="1"/>
  <c r="DC29" i="31"/>
  <c r="DC93" i="31" s="1"/>
  <c r="DK29" i="31"/>
  <c r="DS29" i="31"/>
  <c r="EA29" i="31"/>
  <c r="AZ30" i="31"/>
  <c r="BH30" i="31"/>
  <c r="BP30" i="31"/>
  <c r="CD30" i="31"/>
  <c r="CL30" i="31"/>
  <c r="CT30" i="31"/>
  <c r="DE30" i="31"/>
  <c r="DM30" i="31"/>
  <c r="DU30" i="31"/>
  <c r="AY31" i="31"/>
  <c r="BG31" i="31"/>
  <c r="BO31" i="31"/>
  <c r="DL31" i="31"/>
  <c r="DT31" i="31"/>
  <c r="EB31" i="31"/>
  <c r="AX32" i="31"/>
  <c r="BF32" i="31"/>
  <c r="BN32" i="31"/>
  <c r="CB32" i="31"/>
  <c r="CJ32" i="31"/>
  <c r="CR32" i="31"/>
  <c r="DC32" i="31"/>
  <c r="DK32" i="31"/>
  <c r="DS32" i="31"/>
  <c r="EA32" i="31"/>
  <c r="CI33" i="31"/>
  <c r="CQ33" i="31"/>
  <c r="CY33" i="31"/>
  <c r="DJ33" i="31"/>
  <c r="DR33" i="31"/>
  <c r="DZ33" i="31"/>
  <c r="AY34" i="31"/>
  <c r="BG34" i="31"/>
  <c r="BO34" i="31"/>
  <c r="DL34" i="31"/>
  <c r="DT34" i="31"/>
  <c r="EB34" i="31"/>
  <c r="CI35" i="31"/>
  <c r="CQ35" i="31"/>
  <c r="CY35" i="31"/>
  <c r="AZ99" i="31"/>
  <c r="AZ100" i="31" s="1"/>
  <c r="AZ101" i="31" s="1"/>
  <c r="BH99" i="31"/>
  <c r="BH100" i="31" s="1"/>
  <c r="BH101" i="31" s="1"/>
  <c r="BP99" i="31"/>
  <c r="BP100" i="31" s="1"/>
  <c r="BP101" i="31" s="1"/>
  <c r="DC38" i="31"/>
  <c r="BZ40" i="31"/>
  <c r="DC45" i="31"/>
  <c r="BZ61" i="31"/>
  <c r="EB100" i="31"/>
  <c r="EB101" i="31" s="1"/>
  <c r="DT100" i="31"/>
  <c r="DT101" i="31" s="1"/>
  <c r="DL100" i="31"/>
  <c r="DL101" i="31" s="1"/>
  <c r="CV100" i="31"/>
  <c r="CV101" i="31" s="1"/>
  <c r="CF100" i="31"/>
  <c r="CF101" i="31" s="1"/>
  <c r="DX100" i="31"/>
  <c r="DX101" i="31" s="1"/>
  <c r="DP100" i="31"/>
  <c r="DP101" i="31" s="1"/>
  <c r="DU100" i="31"/>
  <c r="DU101" i="31" s="1"/>
  <c r="DE100" i="31"/>
  <c r="DE101" i="31" s="1"/>
  <c r="CR100" i="31"/>
  <c r="CR101" i="31" s="1"/>
  <c r="CJ100" i="31"/>
  <c r="CJ101" i="31" s="1"/>
  <c r="CB100" i="31"/>
  <c r="CB101" i="31" s="1"/>
  <c r="BD100" i="31"/>
  <c r="BD101" i="31" s="1"/>
  <c r="CT100" i="31"/>
  <c r="CT101" i="31" s="1"/>
  <c r="BF100" i="31"/>
  <c r="BF101" i="31" s="1"/>
  <c r="DW100" i="31"/>
  <c r="DW101" i="31" s="1"/>
  <c r="CL100" i="31"/>
  <c r="CL101" i="31" s="1"/>
  <c r="AX100" i="31"/>
  <c r="AX101" i="31" s="1"/>
  <c r="CD100" i="31"/>
  <c r="CD101" i="31" s="1"/>
  <c r="CC100" i="31"/>
  <c r="CC101" i="31" s="1"/>
  <c r="BN100" i="31"/>
  <c r="BN101" i="31" s="1"/>
  <c r="DC108" i="31"/>
  <c r="DC73" i="31"/>
  <c r="DC19" i="31"/>
  <c r="DC52" i="31" s="1"/>
  <c r="DC24" i="31"/>
  <c r="DC57" i="31" s="1"/>
  <c r="BA26" i="31"/>
  <c r="BA60" i="31" s="1"/>
  <c r="BA106" i="31" s="1"/>
  <c r="BI26" i="31"/>
  <c r="BI71" i="31" s="1"/>
  <c r="BQ26" i="31"/>
  <c r="BQ71" i="31" s="1"/>
  <c r="BC27" i="31"/>
  <c r="BC61" i="31" s="1"/>
  <c r="BC107" i="31" s="1"/>
  <c r="BK27" i="31"/>
  <c r="BS27" i="31"/>
  <c r="BS72" i="31" s="1"/>
  <c r="CG27" i="31"/>
  <c r="CG72" i="31" s="1"/>
  <c r="CO27" i="31"/>
  <c r="CO61" i="31" s="1"/>
  <c r="CO107" i="31" s="1"/>
  <c r="CW27" i="31"/>
  <c r="CW72" i="31" s="1"/>
  <c r="CI28" i="31"/>
  <c r="CI62" i="31" s="1"/>
  <c r="CI108" i="31" s="1"/>
  <c r="CQ28" i="31"/>
  <c r="CY28" i="31"/>
  <c r="DJ28" i="31"/>
  <c r="DR28" i="31"/>
  <c r="DZ28" i="31"/>
  <c r="DL29" i="31"/>
  <c r="DT29" i="31"/>
  <c r="EB29" i="31"/>
  <c r="BA30" i="31"/>
  <c r="BI30" i="31"/>
  <c r="BQ30" i="31"/>
  <c r="DL32" i="31"/>
  <c r="DT32" i="31"/>
  <c r="EB32" i="31"/>
  <c r="DC33" i="31"/>
  <c r="DC96" i="31" s="1"/>
  <c r="DC35" i="31"/>
  <c r="DC98" i="31" s="1"/>
  <c r="BA99" i="31"/>
  <c r="BA100" i="31" s="1"/>
  <c r="BA101" i="31" s="1"/>
  <c r="BI99" i="31"/>
  <c r="BI100" i="31" s="1"/>
  <c r="BI101" i="31" s="1"/>
  <c r="BQ99" i="31"/>
  <c r="BQ100" i="31" s="1"/>
  <c r="BQ101" i="31" s="1"/>
  <c r="DC40" i="31"/>
  <c r="CG99" i="31"/>
  <c r="CG100" i="31" s="1"/>
  <c r="CG101" i="31" s="1"/>
  <c r="CO99" i="31"/>
  <c r="CO100" i="31" s="1"/>
  <c r="CO101" i="31" s="1"/>
  <c r="CW99" i="31"/>
  <c r="CW100" i="31" s="1"/>
  <c r="CW101" i="31" s="1"/>
  <c r="DI99" i="31"/>
  <c r="DI100" i="31" s="1"/>
  <c r="DI101" i="31" s="1"/>
  <c r="BZ43" i="31"/>
  <c r="DC61" i="31"/>
  <c r="DC67" i="31"/>
  <c r="N62" i="30"/>
  <c r="AU2" i="31"/>
  <c r="BZ115" i="31"/>
  <c r="BZ80" i="31"/>
  <c r="BZ22" i="31"/>
  <c r="BZ55" i="31" s="1"/>
  <c r="BB26" i="31"/>
  <c r="BB60" i="31" s="1"/>
  <c r="BB106" i="31" s="1"/>
  <c r="BJ26" i="31"/>
  <c r="BJ71" i="31" s="1"/>
  <c r="BR26" i="31"/>
  <c r="BR71" i="31" s="1"/>
  <c r="CF26" i="31"/>
  <c r="CF71" i="31" s="1"/>
  <c r="CN26" i="31"/>
  <c r="CN60" i="31" s="1"/>
  <c r="CN106" i="31" s="1"/>
  <c r="CV26" i="31"/>
  <c r="CV60" i="31" s="1"/>
  <c r="CV106" i="31" s="1"/>
  <c r="DG26" i="31"/>
  <c r="DO26" i="31"/>
  <c r="DW26" i="31"/>
  <c r="AV27" i="31"/>
  <c r="AV72" i="31" s="1"/>
  <c r="BD27" i="31"/>
  <c r="BD72" i="31" s="1"/>
  <c r="BL27" i="31"/>
  <c r="CH27" i="31"/>
  <c r="CH61" i="31" s="1"/>
  <c r="CH107" i="31" s="1"/>
  <c r="CP27" i="31"/>
  <c r="CP61" i="31" s="1"/>
  <c r="CP107" i="31" s="1"/>
  <c r="CX27" i="31"/>
  <c r="CX72" i="31" s="1"/>
  <c r="DI27" i="31"/>
  <c r="DQ27" i="31"/>
  <c r="DY27" i="31"/>
  <c r="AX28" i="31"/>
  <c r="AX73" i="31" s="1"/>
  <c r="BF28" i="31"/>
  <c r="BF62" i="31" s="1"/>
  <c r="BF108" i="31" s="1"/>
  <c r="BN28" i="31"/>
  <c r="BN62" i="31" s="1"/>
  <c r="BN108" i="31" s="1"/>
  <c r="CB28" i="31"/>
  <c r="CJ28" i="31"/>
  <c r="CJ62" i="31" s="1"/>
  <c r="CJ108" i="31" s="1"/>
  <c r="CR28" i="31"/>
  <c r="DC28" i="31"/>
  <c r="DC92" i="31" s="1"/>
  <c r="DK28" i="31"/>
  <c r="DS28" i="31"/>
  <c r="EA28" i="31"/>
  <c r="DE29" i="31"/>
  <c r="DM29" i="31"/>
  <c r="DU29" i="31"/>
  <c r="BB30" i="31"/>
  <c r="BJ30" i="31"/>
  <c r="BR30" i="31"/>
  <c r="CF30" i="31"/>
  <c r="CN30" i="31"/>
  <c r="CV30" i="31"/>
  <c r="DG30" i="31"/>
  <c r="DO30" i="31"/>
  <c r="DW30" i="31"/>
  <c r="BA31" i="31"/>
  <c r="BI31" i="31"/>
  <c r="BQ31" i="31"/>
  <c r="DF31" i="31"/>
  <c r="DN31" i="31"/>
  <c r="DV31" i="31"/>
  <c r="AZ32" i="31"/>
  <c r="BH32" i="31"/>
  <c r="BP32" i="31"/>
  <c r="CD32" i="31"/>
  <c r="CL32" i="31"/>
  <c r="CT32" i="31"/>
  <c r="DE32" i="31"/>
  <c r="DM32" i="31"/>
  <c r="DU32" i="31"/>
  <c r="CC33" i="31"/>
  <c r="CK33" i="31"/>
  <c r="CS33" i="31"/>
  <c r="DL33" i="31"/>
  <c r="DT33" i="31"/>
  <c r="EB33" i="31"/>
  <c r="BA34" i="31"/>
  <c r="BI34" i="31"/>
  <c r="BQ34" i="31"/>
  <c r="DF34" i="31"/>
  <c r="DN34" i="31"/>
  <c r="DV34" i="31"/>
  <c r="CC35" i="31"/>
  <c r="CK35" i="31"/>
  <c r="CS35" i="31"/>
  <c r="DL35" i="31"/>
  <c r="DT35" i="31"/>
  <c r="EB35" i="31"/>
  <c r="BB99" i="31"/>
  <c r="BB100" i="31" s="1"/>
  <c r="BB101" i="31" s="1"/>
  <c r="BJ99" i="31"/>
  <c r="BJ100" i="31" s="1"/>
  <c r="BJ101" i="31" s="1"/>
  <c r="BR99" i="31"/>
  <c r="BR100" i="31" s="1"/>
  <c r="BR101" i="31" s="1"/>
  <c r="CH99" i="31"/>
  <c r="CH100" i="31" s="1"/>
  <c r="CH101" i="31" s="1"/>
  <c r="CP99" i="31"/>
  <c r="CP100" i="31" s="1"/>
  <c r="CP101" i="31" s="1"/>
  <c r="CX99" i="31"/>
  <c r="CX100" i="31" s="1"/>
  <c r="CX101" i="31" s="1"/>
  <c r="DJ99" i="31"/>
  <c r="DJ100" i="31" s="1"/>
  <c r="DJ101" i="31" s="1"/>
  <c r="DR99" i="31"/>
  <c r="DR100" i="31" s="1"/>
  <c r="DR101" i="31" s="1"/>
  <c r="DZ99" i="31"/>
  <c r="DZ100" i="31" s="1"/>
  <c r="DZ101" i="31" s="1"/>
  <c r="DC43" i="31"/>
  <c r="BZ46" i="31"/>
  <c r="BZ76" i="31"/>
  <c r="BZ111" i="31"/>
  <c r="BZ113" i="31"/>
  <c r="BZ78" i="31"/>
  <c r="DC115" i="31"/>
  <c r="DC80" i="31"/>
  <c r="BC26" i="31"/>
  <c r="BC71" i="31" s="1"/>
  <c r="BK26" i="31"/>
  <c r="BK60" i="31" s="1"/>
  <c r="BK106" i="31" s="1"/>
  <c r="BS26" i="31"/>
  <c r="BS71" i="31" s="1"/>
  <c r="AW27" i="31"/>
  <c r="AW72" i="31" s="1"/>
  <c r="BE27" i="31"/>
  <c r="BM27" i="31"/>
  <c r="CI27" i="31"/>
  <c r="CI61" i="31" s="1"/>
  <c r="CI107" i="31" s="1"/>
  <c r="CQ27" i="31"/>
  <c r="CQ61" i="31" s="1"/>
  <c r="CQ107" i="31" s="1"/>
  <c r="CY27" i="31"/>
  <c r="CY72" i="31" s="1"/>
  <c r="CC28" i="31"/>
  <c r="CK28" i="31"/>
  <c r="CS28" i="31"/>
  <c r="DL28" i="31"/>
  <c r="DT28" i="31"/>
  <c r="EB28" i="31"/>
  <c r="DN29" i="31"/>
  <c r="DV29" i="31"/>
  <c r="BC30" i="31"/>
  <c r="BK30" i="31"/>
  <c r="BS30" i="31"/>
  <c r="BC99" i="31"/>
  <c r="BC100" i="31" s="1"/>
  <c r="BC101" i="31" s="1"/>
  <c r="BK99" i="31"/>
  <c r="BK100" i="31" s="1"/>
  <c r="BK101" i="31" s="1"/>
  <c r="BS99" i="31"/>
  <c r="BS100" i="31" s="1"/>
  <c r="BS101" i="31" s="1"/>
  <c r="BZ41" i="31"/>
  <c r="CI99" i="31"/>
  <c r="CI100" i="31" s="1"/>
  <c r="CI101" i="31" s="1"/>
  <c r="CQ99" i="31"/>
  <c r="CQ100" i="31" s="1"/>
  <c r="CQ101" i="31" s="1"/>
  <c r="CY99" i="31"/>
  <c r="CY100" i="31" s="1"/>
  <c r="CY101" i="31" s="1"/>
  <c r="DK99" i="31"/>
  <c r="DK100" i="31" s="1"/>
  <c r="DK101" i="31" s="1"/>
  <c r="DS99" i="31"/>
  <c r="DS100" i="31" s="1"/>
  <c r="DS101" i="31" s="1"/>
  <c r="EA99" i="31"/>
  <c r="EA100" i="31" s="1"/>
  <c r="EA101" i="31" s="1"/>
  <c r="DC46" i="31"/>
  <c r="BZ75" i="31"/>
  <c r="BZ109" i="31"/>
  <c r="BZ74" i="31"/>
  <c r="DC111" i="31"/>
  <c r="DC76" i="31"/>
  <c r="BZ21" i="31"/>
  <c r="BZ54" i="31" s="1"/>
  <c r="AV26" i="31"/>
  <c r="AV71" i="31" s="1"/>
  <c r="BD26" i="31"/>
  <c r="BD71" i="31" s="1"/>
  <c r="BZ26" i="31"/>
  <c r="BZ90" i="31" s="1"/>
  <c r="CH26" i="31"/>
  <c r="CH71" i="31" s="1"/>
  <c r="CP26" i="31"/>
  <c r="DI26" i="31"/>
  <c r="DQ26" i="31"/>
  <c r="AX27" i="31"/>
  <c r="AX72" i="31" s="1"/>
  <c r="BF27" i="31"/>
  <c r="CB27" i="31"/>
  <c r="CB72" i="31" s="1"/>
  <c r="CJ27" i="31"/>
  <c r="CJ72" i="31" s="1"/>
  <c r="DK27" i="31"/>
  <c r="DS27" i="31"/>
  <c r="AZ28" i="31"/>
  <c r="AZ73" i="31" s="1"/>
  <c r="BH28" i="31"/>
  <c r="BH62" i="31" s="1"/>
  <c r="BH108" i="31" s="1"/>
  <c r="CD28" i="31"/>
  <c r="CL28" i="31"/>
  <c r="DE28" i="31"/>
  <c r="DM28" i="31"/>
  <c r="BB29" i="31"/>
  <c r="BB63" i="31" s="1"/>
  <c r="BB109" i="31" s="1"/>
  <c r="BJ29" i="31"/>
  <c r="CF29" i="31"/>
  <c r="CN29" i="31"/>
  <c r="CN63" i="31" s="1"/>
  <c r="CN109" i="31" s="1"/>
  <c r="DG29" i="31"/>
  <c r="DO29" i="31"/>
  <c r="AV30" i="31"/>
  <c r="BD30" i="31"/>
  <c r="BZ30" i="31"/>
  <c r="BZ94" i="31" s="1"/>
  <c r="CH30" i="31"/>
  <c r="CP30" i="31"/>
  <c r="DI30" i="31"/>
  <c r="DQ30" i="31"/>
  <c r="BC31" i="31"/>
  <c r="BK31" i="31"/>
  <c r="DH31" i="31"/>
  <c r="DP31" i="31"/>
  <c r="BB32" i="31"/>
  <c r="BJ32" i="31"/>
  <c r="CF32" i="31"/>
  <c r="CN32" i="31"/>
  <c r="DG32" i="31"/>
  <c r="DO32" i="31"/>
  <c r="CE33" i="31"/>
  <c r="CM33" i="31"/>
  <c r="DF33" i="31"/>
  <c r="DN33" i="31"/>
  <c r="BC34" i="31"/>
  <c r="BK34" i="31"/>
  <c r="DH34" i="31"/>
  <c r="DP34" i="31"/>
  <c r="CE35" i="31"/>
  <c r="CM35" i="31"/>
  <c r="DF35" i="31"/>
  <c r="DN35" i="31"/>
  <c r="BZ37" i="31"/>
  <c r="DC41" i="31"/>
  <c r="BZ44" i="31"/>
  <c r="BZ77" i="31"/>
  <c r="C274" i="33"/>
  <c r="D274" i="33" s="1"/>
  <c r="C206" i="31"/>
  <c r="AB28" i="32"/>
  <c r="AC28" i="32" s="1"/>
  <c r="AB27" i="32"/>
  <c r="AC27" i="32" s="1"/>
  <c r="C279" i="33"/>
  <c r="D279" i="33" s="1"/>
  <c r="B116" i="31"/>
  <c r="V31" i="32"/>
  <c r="X32" i="32"/>
  <c r="AJ27" i="32" s="1"/>
  <c r="AK27" i="32" s="1"/>
  <c r="AK28" i="32" s="1"/>
  <c r="J38" i="32" s="1"/>
  <c r="BX75" i="32"/>
  <c r="BL78" i="32"/>
  <c r="CB78" i="32"/>
  <c r="AF92" i="32"/>
  <c r="AE199" i="32"/>
  <c r="L5" i="32"/>
  <c r="BE92" i="32"/>
  <c r="BU98" i="32"/>
  <c r="BE98" i="32"/>
  <c r="AW98" i="32"/>
  <c r="AO98" i="32"/>
  <c r="AG98" i="32"/>
  <c r="BT98" i="32"/>
  <c r="BL98" i="32"/>
  <c r="BD98" i="32"/>
  <c r="AV98" i="32"/>
  <c r="AN98" i="32"/>
  <c r="AF98" i="32"/>
  <c r="BS98" i="32"/>
  <c r="BK98" i="32"/>
  <c r="BC98" i="32"/>
  <c r="AU98" i="32"/>
  <c r="AM98" i="32"/>
  <c r="AE98" i="32"/>
  <c r="BR98" i="32"/>
  <c r="BJ98" i="32"/>
  <c r="BB98" i="32"/>
  <c r="AT98" i="32"/>
  <c r="AL98" i="32"/>
  <c r="AD98" i="32"/>
  <c r="BQ98" i="32"/>
  <c r="BI98" i="32"/>
  <c r="BA98" i="32"/>
  <c r="AS98" i="32"/>
  <c r="AK98" i="32"/>
  <c r="AC98" i="32"/>
  <c r="BV98" i="32"/>
  <c r="BN98" i="32"/>
  <c r="BF98" i="32"/>
  <c r="AX98" i="32"/>
  <c r="AP98" i="32"/>
  <c r="AH98" i="32"/>
  <c r="AQ98" i="32"/>
  <c r="BP98" i="32"/>
  <c r="AJ98" i="32"/>
  <c r="BO98" i="32"/>
  <c r="AI98" i="32"/>
  <c r="BH98" i="32"/>
  <c r="AB98" i="32"/>
  <c r="BG98" i="32"/>
  <c r="AR98" i="32"/>
  <c r="AO28" i="32"/>
  <c r="AP28" i="32" s="1"/>
  <c r="AO27" i="32"/>
  <c r="AP27" i="32" s="1"/>
  <c r="BS99" i="32"/>
  <c r="BK99" i="32"/>
  <c r="BC99" i="32"/>
  <c r="AU99" i="32"/>
  <c r="AM99" i="32"/>
  <c r="AE99" i="32"/>
  <c r="BR99" i="32"/>
  <c r="BJ99" i="32"/>
  <c r="BB99" i="32"/>
  <c r="AT99" i="32"/>
  <c r="AL99" i="32"/>
  <c r="AD99" i="32"/>
  <c r="BQ99" i="32"/>
  <c r="BI99" i="32"/>
  <c r="BA99" i="32"/>
  <c r="AS99" i="32"/>
  <c r="AK99" i="32"/>
  <c r="AC99" i="32"/>
  <c r="BP99" i="32"/>
  <c r="BH99" i="32"/>
  <c r="AZ99" i="32"/>
  <c r="AR99" i="32"/>
  <c r="AJ99" i="32"/>
  <c r="AB99" i="32"/>
  <c r="BO99" i="32"/>
  <c r="BG99" i="32"/>
  <c r="AY99" i="32"/>
  <c r="AQ99" i="32"/>
  <c r="AI99" i="32"/>
  <c r="BT99" i="32"/>
  <c r="BL99" i="32"/>
  <c r="BD99" i="32"/>
  <c r="AV99" i="32"/>
  <c r="AN99" i="32"/>
  <c r="AF99" i="32"/>
  <c r="AW99" i="32"/>
  <c r="BV99" i="32"/>
  <c r="AP99" i="32"/>
  <c r="BU99" i="32"/>
  <c r="AO99" i="32"/>
  <c r="AH99" i="32"/>
  <c r="BM99" i="32"/>
  <c r="AG99" i="32"/>
  <c r="AX99" i="32"/>
  <c r="W193" i="32"/>
  <c r="V193" i="32"/>
  <c r="U193" i="32"/>
  <c r="AJ193" i="32"/>
  <c r="AI193" i="32"/>
  <c r="AG193" i="32"/>
  <c r="AF193" i="32"/>
  <c r="BZ126" i="33"/>
  <c r="BZ103" i="33"/>
  <c r="BZ92" i="33"/>
  <c r="BZ156" i="33" s="1"/>
  <c r="BZ80" i="33"/>
  <c r="BZ114" i="33" s="1"/>
  <c r="AC48" i="32"/>
  <c r="AZ98" i="32"/>
  <c r="BT106" i="32"/>
  <c r="BL106" i="32"/>
  <c r="BD106" i="32"/>
  <c r="AV106" i="32"/>
  <c r="AN106" i="32"/>
  <c r="AF106" i="32"/>
  <c r="BS106" i="32"/>
  <c r="BK106" i="32"/>
  <c r="BC106" i="32"/>
  <c r="AU106" i="32"/>
  <c r="AM106" i="32"/>
  <c r="AE106" i="32"/>
  <c r="BR106" i="32"/>
  <c r="BJ106" i="32"/>
  <c r="BB106" i="32"/>
  <c r="AT106" i="32"/>
  <c r="AL106" i="32"/>
  <c r="AD106" i="32"/>
  <c r="BQ106" i="32"/>
  <c r="BI106" i="32"/>
  <c r="BA106" i="32"/>
  <c r="AS106" i="32"/>
  <c r="AK106" i="32"/>
  <c r="AC106" i="32"/>
  <c r="BP106" i="32"/>
  <c r="BH106" i="32"/>
  <c r="AZ106" i="32"/>
  <c r="AR106" i="32"/>
  <c r="AJ106" i="32"/>
  <c r="AB106" i="32"/>
  <c r="BU106" i="32"/>
  <c r="BM106" i="32"/>
  <c r="BE106" i="32"/>
  <c r="AW106" i="32"/>
  <c r="AO106" i="32"/>
  <c r="AG106" i="32"/>
  <c r="BV106" i="32"/>
  <c r="AP106" i="32"/>
  <c r="BO106" i="32"/>
  <c r="AI106" i="32"/>
  <c r="AH106" i="32"/>
  <c r="BG106" i="32"/>
  <c r="BF106" i="32"/>
  <c r="AQ106" i="32"/>
  <c r="V30" i="32"/>
  <c r="DQ77" i="32"/>
  <c r="DY77" i="32"/>
  <c r="EG77" i="32"/>
  <c r="AK78" i="32"/>
  <c r="AS78" i="32"/>
  <c r="BA78" i="32"/>
  <c r="BT91" i="32"/>
  <c r="BL91" i="32"/>
  <c r="BD91" i="32"/>
  <c r="AV91" i="32"/>
  <c r="AN91" i="32"/>
  <c r="AF91" i="32"/>
  <c r="BS91" i="32"/>
  <c r="BK91" i="32"/>
  <c r="BC91" i="32"/>
  <c r="AU91" i="32"/>
  <c r="AM91" i="32"/>
  <c r="AE91" i="32"/>
  <c r="BR91" i="32"/>
  <c r="BJ91" i="32"/>
  <c r="BB91" i="32"/>
  <c r="AT91" i="32"/>
  <c r="AL91" i="32"/>
  <c r="AD91" i="32"/>
  <c r="BQ91" i="32"/>
  <c r="BI91" i="32"/>
  <c r="BA91" i="32"/>
  <c r="AS91" i="32"/>
  <c r="AK91" i="32"/>
  <c r="AC91" i="32"/>
  <c r="BP91" i="32"/>
  <c r="BH91" i="32"/>
  <c r="AZ91" i="32"/>
  <c r="AR91" i="32"/>
  <c r="AJ91" i="32"/>
  <c r="AB91" i="32"/>
  <c r="BU91" i="32"/>
  <c r="BE91" i="32"/>
  <c r="AW91" i="32"/>
  <c r="AO91" i="32"/>
  <c r="AG91" i="32"/>
  <c r="BV91" i="32"/>
  <c r="AP91" i="32"/>
  <c r="BO91" i="32"/>
  <c r="AI91" i="32"/>
  <c r="BN91" i="32"/>
  <c r="AH91" i="32"/>
  <c r="BG91" i="32"/>
  <c r="BF91" i="32"/>
  <c r="AQ91" i="32"/>
  <c r="BE99" i="32"/>
  <c r="DN74" i="32"/>
  <c r="ED74" i="32"/>
  <c r="AP75" i="32"/>
  <c r="BR92" i="32"/>
  <c r="BJ92" i="32"/>
  <c r="BB92" i="32"/>
  <c r="AT92" i="32"/>
  <c r="AL92" i="32"/>
  <c r="AD92" i="32"/>
  <c r="BQ92" i="32"/>
  <c r="BI92" i="32"/>
  <c r="BA92" i="32"/>
  <c r="AS92" i="32"/>
  <c r="AK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V92" i="32"/>
  <c r="BF92" i="32"/>
  <c r="AX92" i="32"/>
  <c r="AP92" i="32"/>
  <c r="AH92" i="32"/>
  <c r="BS92" i="32"/>
  <c r="BK92" i="32"/>
  <c r="BC92" i="32"/>
  <c r="AU92" i="32"/>
  <c r="AM92" i="32"/>
  <c r="AE92" i="32"/>
  <c r="AW92" i="32"/>
  <c r="AV92" i="32"/>
  <c r="BU92" i="32"/>
  <c r="AO92" i="32"/>
  <c r="BT92" i="32"/>
  <c r="AN92" i="32"/>
  <c r="BM92" i="32"/>
  <c r="AG92" i="32"/>
  <c r="BD92" i="32"/>
  <c r="BF99" i="32"/>
  <c r="AI181" i="32"/>
  <c r="AG181" i="32"/>
  <c r="AF181" i="32"/>
  <c r="AE181" i="32"/>
  <c r="W181" i="32"/>
  <c r="V181" i="32"/>
  <c r="AJ181" i="32"/>
  <c r="G4" i="32"/>
  <c r="BK74" i="32"/>
  <c r="BS74" i="32"/>
  <c r="AK76" i="32"/>
  <c r="AS76" i="32"/>
  <c r="BA76" i="32"/>
  <c r="DM76" i="32"/>
  <c r="DU76" i="32"/>
  <c r="EC76" i="32"/>
  <c r="AE89" i="32"/>
  <c r="AE96" i="32"/>
  <c r="AL97" i="32"/>
  <c r="AF100" i="32"/>
  <c r="BL100" i="32"/>
  <c r="AN103" i="32"/>
  <c r="BT103" i="32"/>
  <c r="AH107" i="32"/>
  <c r="BN107" i="32"/>
  <c r="D6" i="32"/>
  <c r="M6" i="32" s="1"/>
  <c r="I220" i="33"/>
  <c r="I221" i="33" s="1"/>
  <c r="CL74" i="32"/>
  <c r="CT74" i="32"/>
  <c r="DB74" i="32"/>
  <c r="S54" i="32"/>
  <c r="S55" i="32" s="1"/>
  <c r="BO77" i="32"/>
  <c r="BW77" i="32"/>
  <c r="CE77" i="32"/>
  <c r="BK78" i="32"/>
  <c r="BS78" i="32"/>
  <c r="CA78" i="32"/>
  <c r="BO97" i="32"/>
  <c r="BG97" i="32"/>
  <c r="AY97" i="32"/>
  <c r="AQ97" i="32"/>
  <c r="AI97" i="32"/>
  <c r="BV97" i="32"/>
  <c r="BN97" i="32"/>
  <c r="BF97" i="32"/>
  <c r="AX97" i="32"/>
  <c r="AP97" i="32"/>
  <c r="AH97" i="32"/>
  <c r="BU97" i="32"/>
  <c r="BM97" i="32"/>
  <c r="BE97" i="32"/>
  <c r="AW97" i="32"/>
  <c r="AO97" i="32"/>
  <c r="BT97" i="32"/>
  <c r="BD97" i="32"/>
  <c r="AV97" i="32"/>
  <c r="AN97" i="32"/>
  <c r="AF97" i="32"/>
  <c r="BS97" i="32"/>
  <c r="BK97" i="32"/>
  <c r="BC97" i="32"/>
  <c r="AU97" i="32"/>
  <c r="AM97" i="32"/>
  <c r="AE97" i="32"/>
  <c r="BP97" i="32"/>
  <c r="BH97" i="32"/>
  <c r="AZ97" i="32"/>
  <c r="AR97" i="32"/>
  <c r="AJ97" i="32"/>
  <c r="AB97" i="32"/>
  <c r="BA97" i="32"/>
  <c r="F6" i="32"/>
  <c r="CP75" i="32"/>
  <c r="CX75" i="32"/>
  <c r="DF75" i="32"/>
  <c r="BR103" i="32"/>
  <c r="BJ103" i="32"/>
  <c r="BB103" i="32"/>
  <c r="AT103" i="32"/>
  <c r="AL103" i="32"/>
  <c r="AD103" i="32"/>
  <c r="BQ103" i="32"/>
  <c r="BI103" i="32"/>
  <c r="BA103" i="32"/>
  <c r="AS103" i="32"/>
  <c r="AK103" i="32"/>
  <c r="AC103" i="32"/>
  <c r="BP103" i="32"/>
  <c r="BH103" i="32"/>
  <c r="AZ103" i="32"/>
  <c r="AR103" i="32"/>
  <c r="AJ103" i="32"/>
  <c r="AB103" i="32"/>
  <c r="BO103" i="32"/>
  <c r="BG103" i="32"/>
  <c r="AY103" i="32"/>
  <c r="AQ103" i="32"/>
  <c r="AI103" i="32"/>
  <c r="BV103" i="32"/>
  <c r="BN103" i="32"/>
  <c r="BF103" i="32"/>
  <c r="AX103" i="32"/>
  <c r="AP103" i="32"/>
  <c r="AH103" i="32"/>
  <c r="BS103" i="32"/>
  <c r="BC103" i="32"/>
  <c r="AU103" i="32"/>
  <c r="AM103" i="32"/>
  <c r="AE103" i="32"/>
  <c r="BD103" i="32"/>
  <c r="L113" i="32"/>
  <c r="AB187" i="32"/>
  <c r="AB203" i="32"/>
  <c r="CL76" i="32"/>
  <c r="CT76" i="32"/>
  <c r="DB76" i="32"/>
  <c r="BP89" i="32"/>
  <c r="BH89" i="32"/>
  <c r="AZ89" i="32"/>
  <c r="AR89" i="32"/>
  <c r="AJ89" i="32"/>
  <c r="AB89" i="32"/>
  <c r="BO89" i="32"/>
  <c r="BG89" i="32"/>
  <c r="AY89" i="32"/>
  <c r="AQ89" i="32"/>
  <c r="AI89" i="32"/>
  <c r="BV89" i="32"/>
  <c r="BN89" i="32"/>
  <c r="BF89" i="32"/>
  <c r="AX89" i="32"/>
  <c r="AP89" i="32"/>
  <c r="AH89" i="32"/>
  <c r="BU89" i="32"/>
  <c r="BM89" i="32"/>
  <c r="BE89" i="32"/>
  <c r="AW89" i="32"/>
  <c r="AO89" i="32"/>
  <c r="AG89" i="32"/>
  <c r="BT89" i="32"/>
  <c r="BL89" i="32"/>
  <c r="BD89" i="32"/>
  <c r="AV89" i="32"/>
  <c r="AN89" i="32"/>
  <c r="AF89" i="32"/>
  <c r="BQ89" i="32"/>
  <c r="BI89" i="32"/>
  <c r="BA89" i="32"/>
  <c r="AS89" i="32"/>
  <c r="AK89" i="32"/>
  <c r="AC89" i="32"/>
  <c r="BB89" i="32"/>
  <c r="AC97" i="32"/>
  <c r="BI97" i="32"/>
  <c r="BQ100" i="32"/>
  <c r="BI100" i="32"/>
  <c r="BA100" i="32"/>
  <c r="AS100" i="32"/>
  <c r="AK100" i="32"/>
  <c r="AC100" i="32"/>
  <c r="BP100" i="32"/>
  <c r="BH100" i="32"/>
  <c r="AZ100" i="32"/>
  <c r="AR100" i="32"/>
  <c r="AJ100" i="32"/>
  <c r="AB100" i="32"/>
  <c r="BG100" i="32"/>
  <c r="AY100" i="32"/>
  <c r="AQ100" i="32"/>
  <c r="AI100" i="32"/>
  <c r="BV100" i="32"/>
  <c r="BN100" i="32"/>
  <c r="BF100" i="32"/>
  <c r="AX100" i="32"/>
  <c r="AP100" i="32"/>
  <c r="AH100" i="32"/>
  <c r="BU100" i="32"/>
  <c r="BM100" i="32"/>
  <c r="BE100" i="32"/>
  <c r="AW100" i="32"/>
  <c r="AO100" i="32"/>
  <c r="AG100" i="32"/>
  <c r="BR100" i="32"/>
  <c r="BJ100" i="32"/>
  <c r="BB100" i="32"/>
  <c r="AT100" i="32"/>
  <c r="AL100" i="32"/>
  <c r="AD100" i="32"/>
  <c r="BC100" i="32"/>
  <c r="BE103" i="32"/>
  <c r="BS107" i="32"/>
  <c r="BK107" i="32"/>
  <c r="BC107" i="32"/>
  <c r="AU107" i="32"/>
  <c r="AM107" i="32"/>
  <c r="AE107" i="32"/>
  <c r="BR107" i="32"/>
  <c r="BJ107" i="32"/>
  <c r="BB107" i="32"/>
  <c r="AT107" i="32"/>
  <c r="AL107" i="32"/>
  <c r="AD107" i="32"/>
  <c r="BQ107" i="32"/>
  <c r="BI107" i="32"/>
  <c r="BA107" i="32"/>
  <c r="AS107" i="32"/>
  <c r="AK107" i="32"/>
  <c r="AC107" i="32"/>
  <c r="BP107" i="32"/>
  <c r="BH107" i="32"/>
  <c r="AZ107" i="32"/>
  <c r="AR107" i="32"/>
  <c r="AJ107" i="32"/>
  <c r="AB107" i="32"/>
  <c r="BG107" i="32"/>
  <c r="AY107" i="32"/>
  <c r="AQ107" i="32"/>
  <c r="AI107" i="32"/>
  <c r="BT107" i="32"/>
  <c r="BL107" i="32"/>
  <c r="BD107" i="32"/>
  <c r="AV107" i="32"/>
  <c r="AN107" i="32"/>
  <c r="AF107" i="32"/>
  <c r="BE107" i="32"/>
  <c r="X132" i="32"/>
  <c r="Y132" i="32" s="1"/>
  <c r="X135" i="32"/>
  <c r="Y135" i="32" s="1"/>
  <c r="X136" i="32"/>
  <c r="Y136" i="32" s="1"/>
  <c r="X133" i="32"/>
  <c r="Y133" i="32" s="1"/>
  <c r="AC187" i="32"/>
  <c r="AS74" i="32"/>
  <c r="BA74" i="32"/>
  <c r="DM74" i="32"/>
  <c r="DU74" i="32"/>
  <c r="EC74" i="32"/>
  <c r="CP77" i="32"/>
  <c r="CX77" i="32"/>
  <c r="DF77" i="32"/>
  <c r="CL78" i="32"/>
  <c r="CT78" i="32"/>
  <c r="DB78" i="32"/>
  <c r="BC89" i="32"/>
  <c r="BQ96" i="32"/>
  <c r="BI96" i="32"/>
  <c r="BA96" i="32"/>
  <c r="AS96" i="32"/>
  <c r="AK96" i="32"/>
  <c r="BP96" i="32"/>
  <c r="BH96" i="32"/>
  <c r="AZ96" i="32"/>
  <c r="AR96" i="32"/>
  <c r="AJ96" i="32"/>
  <c r="AB96" i="32"/>
  <c r="BO96" i="32"/>
  <c r="BG96" i="32"/>
  <c r="AY96" i="32"/>
  <c r="AQ96" i="32"/>
  <c r="AI96" i="32"/>
  <c r="BV96" i="32"/>
  <c r="BN96" i="32"/>
  <c r="BF96" i="32"/>
  <c r="AX96" i="32"/>
  <c r="AP96" i="32"/>
  <c r="AH96" i="32"/>
  <c r="BU96" i="32"/>
  <c r="BM96" i="32"/>
  <c r="BE96" i="32"/>
  <c r="AW96" i="32"/>
  <c r="AO96" i="32"/>
  <c r="AG96" i="32"/>
  <c r="BR96" i="32"/>
  <c r="BJ96" i="32"/>
  <c r="BB96" i="32"/>
  <c r="AT96" i="32"/>
  <c r="AL96" i="32"/>
  <c r="AD96" i="32"/>
  <c r="BC96" i="32"/>
  <c r="AD97" i="32"/>
  <c r="BJ97" i="32"/>
  <c r="BD100" i="32"/>
  <c r="AF103" i="32"/>
  <c r="BL103" i="32"/>
  <c r="BF107" i="32"/>
  <c r="AI137" i="32"/>
  <c r="AI134" i="32"/>
  <c r="AI146" i="32"/>
  <c r="V176" i="32"/>
  <c r="U176" i="32"/>
  <c r="AI176" i="32"/>
  <c r="AG176" i="32"/>
  <c r="AF176" i="32"/>
  <c r="AE176" i="32"/>
  <c r="W176" i="32"/>
  <c r="AJ176" i="32"/>
  <c r="AO75" i="32"/>
  <c r="AW75" i="32"/>
  <c r="BE75" i="32"/>
  <c r="DQ75" i="32"/>
  <c r="DY75" i="32"/>
  <c r="EG75" i="32"/>
  <c r="BM103" i="32"/>
  <c r="BZ95" i="33"/>
  <c r="BZ158" i="33" s="1"/>
  <c r="BZ106" i="33"/>
  <c r="BZ84" i="33"/>
  <c r="BZ117" i="33" s="1"/>
  <c r="BZ129" i="33"/>
  <c r="AI90" i="32"/>
  <c r="AQ90" i="32"/>
  <c r="AY90" i="32"/>
  <c r="BG90" i="32"/>
  <c r="BO90" i="32"/>
  <c r="AC93" i="32"/>
  <c r="AK93" i="32"/>
  <c r="AS93" i="32"/>
  <c r="BA93" i="32"/>
  <c r="BI93" i="32"/>
  <c r="BQ93" i="32"/>
  <c r="AC104" i="32"/>
  <c r="AK104" i="32"/>
  <c r="AS104" i="32"/>
  <c r="BA104" i="32"/>
  <c r="BI104" i="32"/>
  <c r="BQ104" i="32"/>
  <c r="AI105" i="32"/>
  <c r="AQ105" i="32"/>
  <c r="AY105" i="32"/>
  <c r="BG105" i="32"/>
  <c r="BO105" i="32"/>
  <c r="L114" i="32"/>
  <c r="K111" i="32"/>
  <c r="AB175" i="32"/>
  <c r="AA175" i="32"/>
  <c r="W183" i="32"/>
  <c r="U189" i="32"/>
  <c r="AJ194" i="32"/>
  <c r="AI194" i="32"/>
  <c r="AG194" i="32"/>
  <c r="AF194" i="32"/>
  <c r="W194" i="32"/>
  <c r="AD90" i="32"/>
  <c r="AL90" i="32"/>
  <c r="AT90" i="32"/>
  <c r="BB90" i="32"/>
  <c r="BJ90" i="32"/>
  <c r="BR90" i="32"/>
  <c r="AF93" i="32"/>
  <c r="AN93" i="32"/>
  <c r="AV93" i="32"/>
  <c r="BD93" i="32"/>
  <c r="BL93" i="32"/>
  <c r="BT93" i="32"/>
  <c r="AF104" i="32"/>
  <c r="AN104" i="32"/>
  <c r="AV104" i="32"/>
  <c r="BD104" i="32"/>
  <c r="BT104" i="32"/>
  <c r="AD105" i="32"/>
  <c r="AL105" i="32"/>
  <c r="AT105" i="32"/>
  <c r="BB105" i="32"/>
  <c r="BJ105" i="32"/>
  <c r="BR105" i="32"/>
  <c r="AI128" i="32"/>
  <c r="AB170" i="32"/>
  <c r="AC175" i="32"/>
  <c r="AD177" i="32"/>
  <c r="AH177" i="32" s="1"/>
  <c r="U191" i="32"/>
  <c r="AJ191" i="32"/>
  <c r="AI191" i="32"/>
  <c r="AG191" i="32"/>
  <c r="AF191" i="32"/>
  <c r="AD192" i="32"/>
  <c r="AH192" i="32" s="1"/>
  <c r="AA198" i="32"/>
  <c r="AD198" i="32" s="1"/>
  <c r="AE90" i="32"/>
  <c r="AM90" i="32"/>
  <c r="AU90" i="32"/>
  <c r="BC90" i="32"/>
  <c r="BK90" i="32"/>
  <c r="BS90" i="32"/>
  <c r="AG93" i="32"/>
  <c r="AO93" i="32"/>
  <c r="AW93" i="32"/>
  <c r="BE93" i="32"/>
  <c r="BM93" i="32"/>
  <c r="BU93" i="32"/>
  <c r="AG104" i="32"/>
  <c r="AO104" i="32"/>
  <c r="AW104" i="32"/>
  <c r="BE104" i="32"/>
  <c r="BM104" i="32"/>
  <c r="BU104" i="32"/>
  <c r="AE105" i="32"/>
  <c r="AM105" i="32"/>
  <c r="AU105" i="32"/>
  <c r="BC105" i="32"/>
  <c r="BK105" i="32"/>
  <c r="BS105" i="32"/>
  <c r="AI131" i="32"/>
  <c r="AA170" i="32"/>
  <c r="AA174" i="32"/>
  <c r="AG177" i="32"/>
  <c r="AE177" i="32"/>
  <c r="W177" i="32"/>
  <c r="V177" i="32"/>
  <c r="U177" i="32"/>
  <c r="AA178" i="32"/>
  <c r="W185" i="32"/>
  <c r="V185" i="32"/>
  <c r="U185" i="32"/>
  <c r="AJ185" i="32"/>
  <c r="AI185" i="32"/>
  <c r="AG192" i="32"/>
  <c r="AF192" i="32"/>
  <c r="AE192" i="32"/>
  <c r="W192" i="32"/>
  <c r="V192" i="32"/>
  <c r="U192" i="32"/>
  <c r="AC202" i="32"/>
  <c r="AB202" i="32"/>
  <c r="AF90" i="32"/>
  <c r="AN90" i="32"/>
  <c r="AV90" i="32"/>
  <c r="BD90" i="32"/>
  <c r="BT90" i="32"/>
  <c r="AH93" i="32"/>
  <c r="AP93" i="32"/>
  <c r="AX93" i="32"/>
  <c r="BF93" i="32"/>
  <c r="BN93" i="32"/>
  <c r="AH104" i="32"/>
  <c r="AP104" i="32"/>
  <c r="AX104" i="32"/>
  <c r="BF104" i="32"/>
  <c r="BN104" i="32"/>
  <c r="AF105" i="32"/>
  <c r="AN105" i="32"/>
  <c r="AV105" i="32"/>
  <c r="BD105" i="32"/>
  <c r="BL105" i="32"/>
  <c r="BT105" i="32"/>
  <c r="J131" i="32"/>
  <c r="Z132" i="32"/>
  <c r="AA132" i="32" s="1"/>
  <c r="S228" i="32"/>
  <c r="AA171" i="32"/>
  <c r="AD171" i="32" s="1"/>
  <c r="AB172" i="32"/>
  <c r="AA172" i="32"/>
  <c r="AD172" i="32" s="1"/>
  <c r="AA173" i="32"/>
  <c r="AD173" i="32" s="1"/>
  <c r="AC174" i="32"/>
  <c r="AE174" i="32" s="1"/>
  <c r="V178" i="32"/>
  <c r="U178" i="32"/>
  <c r="AI178" i="32"/>
  <c r="AG178" i="32"/>
  <c r="U183" i="32"/>
  <c r="AJ183" i="32"/>
  <c r="AI183" i="32"/>
  <c r="AG183" i="32"/>
  <c r="AF183" i="32"/>
  <c r="AA190" i="32"/>
  <c r="AD190" i="32" s="1"/>
  <c r="AI197" i="32"/>
  <c r="AG197" i="32"/>
  <c r="AF197" i="32"/>
  <c r="AE197" i="32"/>
  <c r="W197" i="32"/>
  <c r="V197" i="32"/>
  <c r="AA202" i="32"/>
  <c r="AG90" i="32"/>
  <c r="AO90" i="32"/>
  <c r="AW90" i="32"/>
  <c r="BE90" i="32"/>
  <c r="BM90" i="32"/>
  <c r="BU90" i="32"/>
  <c r="AG105" i="32"/>
  <c r="AO105" i="32"/>
  <c r="AW105" i="32"/>
  <c r="BE105" i="32"/>
  <c r="BU105" i="32"/>
  <c r="AA166" i="32"/>
  <c r="AB173" i="32"/>
  <c r="AI179" i="32"/>
  <c r="AG179" i="32"/>
  <c r="AF179" i="32"/>
  <c r="AE179" i="32"/>
  <c r="W179" i="32"/>
  <c r="V179" i="32"/>
  <c r="AG184" i="32"/>
  <c r="AF184" i="32"/>
  <c r="AE184" i="32"/>
  <c r="W184" i="32"/>
  <c r="V184" i="32"/>
  <c r="U184" i="32"/>
  <c r="AA189" i="32"/>
  <c r="AD189" i="32" s="1"/>
  <c r="AH189" i="32" s="1"/>
  <c r="AA195" i="32"/>
  <c r="AD195" i="32" s="1"/>
  <c r="AG200" i="32"/>
  <c r="AI200" i="32"/>
  <c r="AF200" i="32"/>
  <c r="AE200" i="32"/>
  <c r="W200" i="32"/>
  <c r="V200" i="32"/>
  <c r="U200" i="32"/>
  <c r="AH90" i="32"/>
  <c r="AP90" i="32"/>
  <c r="AX90" i="32"/>
  <c r="BF90" i="32"/>
  <c r="BN90" i="32"/>
  <c r="AH105" i="32"/>
  <c r="AP105" i="32"/>
  <c r="AX105" i="32"/>
  <c r="BF105" i="32"/>
  <c r="BN105" i="32"/>
  <c r="AI140" i="32"/>
  <c r="AI143" i="32"/>
  <c r="U179" i="32"/>
  <c r="AA182" i="32"/>
  <c r="AD182" i="32" s="1"/>
  <c r="AA188" i="32"/>
  <c r="AD188" i="32" s="1"/>
  <c r="AH188" i="32" s="1"/>
  <c r="AI189" i="32"/>
  <c r="AG189" i="32"/>
  <c r="AF189" i="32"/>
  <c r="AE189" i="32"/>
  <c r="W189" i="32"/>
  <c r="V189" i="32"/>
  <c r="AB195" i="32"/>
  <c r="AU62" i="33"/>
  <c r="T132" i="32"/>
  <c r="K110" i="32" s="1"/>
  <c r="AF168" i="32"/>
  <c r="AF174" i="32"/>
  <c r="AB176" i="32"/>
  <c r="AB178" i="32"/>
  <c r="AA183" i="32"/>
  <c r="AC185" i="32"/>
  <c r="AE185" i="32" s="1"/>
  <c r="AB188" i="32"/>
  <c r="AG188" i="32"/>
  <c r="AA191" i="32"/>
  <c r="AC193" i="32"/>
  <c r="AE193" i="32" s="1"/>
  <c r="AB196" i="32"/>
  <c r="AG196" i="32"/>
  <c r="AF199" i="32"/>
  <c r="AD201" i="32"/>
  <c r="AH201" i="32" s="1"/>
  <c r="AA204" i="32"/>
  <c r="AD205" i="32"/>
  <c r="AH205" i="32" s="1"/>
  <c r="AB207" i="32"/>
  <c r="AA207" i="32"/>
  <c r="AD207" i="32" s="1"/>
  <c r="DC124" i="33"/>
  <c r="DC101" i="33"/>
  <c r="DC78" i="33"/>
  <c r="DC112" i="33" s="1"/>
  <c r="DC90" i="33"/>
  <c r="DC154" i="33" s="1"/>
  <c r="V133" i="32"/>
  <c r="W133" i="32" s="1"/>
  <c r="T136" i="32"/>
  <c r="AG168" i="32"/>
  <c r="AG174" i="32"/>
  <c r="AA180" i="32"/>
  <c r="AD180" i="32" s="1"/>
  <c r="AH180" i="32" s="1"/>
  <c r="AA185" i="32"/>
  <c r="AA193" i="32"/>
  <c r="AA194" i="32"/>
  <c r="V201" i="32"/>
  <c r="AE201" i="32"/>
  <c r="AE205" i="32"/>
  <c r="W205" i="32"/>
  <c r="V205" i="32"/>
  <c r="AG205" i="32"/>
  <c r="V132" i="32"/>
  <c r="W132" i="32" s="1"/>
  <c r="AA179" i="32"/>
  <c r="AD179" i="32" s="1"/>
  <c r="AH179" i="32" s="1"/>
  <c r="AB180" i="32"/>
  <c r="AJ180" i="32"/>
  <c r="AA181" i="32"/>
  <c r="AD181" i="32" s="1"/>
  <c r="AH181" i="32" s="1"/>
  <c r="AC183" i="32"/>
  <c r="AB185" i="32"/>
  <c r="AI188" i="32"/>
  <c r="AC191" i="32"/>
  <c r="AB193" i="32"/>
  <c r="AB194" i="32"/>
  <c r="AI196" i="32"/>
  <c r="AA197" i="32"/>
  <c r="AD197" i="32" s="1"/>
  <c r="AH197" i="32" s="1"/>
  <c r="U201" i="32"/>
  <c r="AF201" i="32"/>
  <c r="AC204" i="32"/>
  <c r="AE204" i="32" s="1"/>
  <c r="U205" i="32"/>
  <c r="AI205" i="32"/>
  <c r="AC206" i="32"/>
  <c r="C187" i="33"/>
  <c r="D187" i="33" s="1"/>
  <c r="AJ218" i="33" s="1"/>
  <c r="X235" i="32"/>
  <c r="C308" i="33" s="1"/>
  <c r="DC130" i="33"/>
  <c r="DC107" i="33"/>
  <c r="DC96" i="33"/>
  <c r="DC159" i="33" s="1"/>
  <c r="DC85" i="33"/>
  <c r="DC118" i="33" s="1"/>
  <c r="AJ188" i="32"/>
  <c r="AC194" i="32"/>
  <c r="AE194" i="32" s="1"/>
  <c r="AJ196" i="32"/>
  <c r="AA199" i="32"/>
  <c r="AD199" i="32" s="1"/>
  <c r="AH199" i="32" s="1"/>
  <c r="AA200" i="32"/>
  <c r="AD200" i="32" s="1"/>
  <c r="AH200" i="32" s="1"/>
  <c r="AC203" i="32"/>
  <c r="BZ127" i="33"/>
  <c r="BZ104" i="33"/>
  <c r="BZ81" i="33"/>
  <c r="BZ115" i="33" s="1"/>
  <c r="BZ93" i="33"/>
  <c r="AB177" i="32"/>
  <c r="AB184" i="32"/>
  <c r="U188" i="32"/>
  <c r="AB192" i="32"/>
  <c r="U196" i="32"/>
  <c r="AB200" i="32"/>
  <c r="AI201" i="32"/>
  <c r="AG204" i="32"/>
  <c r="U204" i="32"/>
  <c r="AF204" i="32"/>
  <c r="AJ206" i="32"/>
  <c r="AI206" i="32"/>
  <c r="W206" i="32"/>
  <c r="BZ123" i="33"/>
  <c r="BZ100" i="33"/>
  <c r="BZ89" i="33"/>
  <c r="BZ153" i="33" s="1"/>
  <c r="BZ77" i="33"/>
  <c r="BZ111" i="33" s="1"/>
  <c r="AA203" i="32"/>
  <c r="AA206" i="32"/>
  <c r="W274" i="32"/>
  <c r="AM218" i="33" s="1"/>
  <c r="DC126" i="33"/>
  <c r="DC92" i="33"/>
  <c r="DC156" i="33" s="1"/>
  <c r="DC103" i="33"/>
  <c r="DC80" i="33"/>
  <c r="DC114" i="33" s="1"/>
  <c r="DC129" i="33"/>
  <c r="DC95" i="33"/>
  <c r="DC158" i="33" s="1"/>
  <c r="DC106" i="33"/>
  <c r="T275" i="32"/>
  <c r="X275" i="32" s="1"/>
  <c r="BL87" i="33"/>
  <c r="BZ121" i="33"/>
  <c r="BZ87" i="33"/>
  <c r="BZ151" i="33" s="1"/>
  <c r="BZ98" i="33"/>
  <c r="BZ75" i="33"/>
  <c r="BZ109" i="33" s="1"/>
  <c r="CG87" i="33"/>
  <c r="CS88" i="33"/>
  <c r="CK88" i="33"/>
  <c r="CC88" i="33"/>
  <c r="BO88" i="33"/>
  <c r="BG88" i="33"/>
  <c r="AY88" i="33"/>
  <c r="CR88" i="33"/>
  <c r="CJ88" i="33"/>
  <c r="CB88" i="33"/>
  <c r="BN88" i="33"/>
  <c r="BF88" i="33"/>
  <c r="AX88" i="33"/>
  <c r="BM88" i="33"/>
  <c r="BE88" i="33"/>
  <c r="AW88" i="33"/>
  <c r="CV88" i="33"/>
  <c r="CN88" i="33"/>
  <c r="CF88" i="33"/>
  <c r="BR88" i="33"/>
  <c r="BJ88" i="33"/>
  <c r="BB88" i="33"/>
  <c r="CP88" i="33"/>
  <c r="BH88" i="33"/>
  <c r="CO88" i="33"/>
  <c r="BD88" i="33"/>
  <c r="CM88" i="33"/>
  <c r="BS88" i="33"/>
  <c r="BC88" i="33"/>
  <c r="CL88" i="33"/>
  <c r="BQ88" i="33"/>
  <c r="BA88" i="33"/>
  <c r="CX88" i="33"/>
  <c r="CH88" i="33"/>
  <c r="BP88" i="33"/>
  <c r="AZ88" i="33"/>
  <c r="CW88" i="33"/>
  <c r="CG88" i="33"/>
  <c r="BL88" i="33"/>
  <c r="AV88" i="33"/>
  <c r="AB204" i="32"/>
  <c r="DC121" i="33"/>
  <c r="DC98" i="33"/>
  <c r="DC87" i="33"/>
  <c r="DC151" i="33" s="1"/>
  <c r="DC75" i="33"/>
  <c r="DC109" i="33" s="1"/>
  <c r="BI88" i="33"/>
  <c r="AJ219" i="33"/>
  <c r="AN219" i="33" s="1"/>
  <c r="AK227" i="33"/>
  <c r="AO227" i="33" s="1"/>
  <c r="X246" i="32"/>
  <c r="T256" i="32"/>
  <c r="U256" i="32" s="1"/>
  <c r="T258" i="32"/>
  <c r="U258" i="32" s="1"/>
  <c r="DC99" i="33"/>
  <c r="DC88" i="33"/>
  <c r="DC152" i="33" s="1"/>
  <c r="DC122" i="33"/>
  <c r="CS87" i="33"/>
  <c r="CK87" i="33"/>
  <c r="CC87" i="33"/>
  <c r="BO87" i="33"/>
  <c r="BG87" i="33"/>
  <c r="AY87" i="33"/>
  <c r="CR87" i="33"/>
  <c r="CJ87" i="33"/>
  <c r="CB87" i="33"/>
  <c r="BN87" i="33"/>
  <c r="BF87" i="33"/>
  <c r="AX87" i="33"/>
  <c r="BM87" i="33"/>
  <c r="BE87" i="33"/>
  <c r="AW87" i="33"/>
  <c r="CV87" i="33"/>
  <c r="CN87" i="33"/>
  <c r="CF87" i="33"/>
  <c r="BR87" i="33"/>
  <c r="BJ87" i="33"/>
  <c r="BB87" i="33"/>
  <c r="CT87" i="33"/>
  <c r="CD87" i="33"/>
  <c r="BI87" i="33"/>
  <c r="CP87" i="33"/>
  <c r="BH87" i="33"/>
  <c r="CO87" i="33"/>
  <c r="BD87" i="33"/>
  <c r="CM87" i="33"/>
  <c r="BS87" i="33"/>
  <c r="BC87" i="33"/>
  <c r="CL87" i="33"/>
  <c r="BQ87" i="33"/>
  <c r="BA87" i="33"/>
  <c r="CX87" i="33"/>
  <c r="CH87" i="33"/>
  <c r="BP87" i="33"/>
  <c r="AZ87" i="33"/>
  <c r="CW87" i="33"/>
  <c r="AT174" i="33"/>
  <c r="AT139" i="33"/>
  <c r="AT169" i="33"/>
  <c r="AT134" i="33"/>
  <c r="AT170" i="33"/>
  <c r="AT135" i="33"/>
  <c r="DC100" i="33"/>
  <c r="DC123" i="33"/>
  <c r="DC89" i="33"/>
  <c r="DC153" i="33" s="1"/>
  <c r="BZ94" i="33"/>
  <c r="BZ157" i="33" s="1"/>
  <c r="BZ105" i="33"/>
  <c r="BZ128" i="33"/>
  <c r="CS89" i="33"/>
  <c r="CK89" i="33"/>
  <c r="CC89" i="33"/>
  <c r="BO89" i="33"/>
  <c r="BG89" i="33"/>
  <c r="AY89" i="33"/>
  <c r="CR89" i="33"/>
  <c r="CJ89" i="33"/>
  <c r="CB89" i="33"/>
  <c r="BN89" i="33"/>
  <c r="BF89" i="33"/>
  <c r="AX89" i="33"/>
  <c r="BM89" i="33"/>
  <c r="BE89" i="33"/>
  <c r="AW89" i="33"/>
  <c r="CV89" i="33"/>
  <c r="CN89" i="33"/>
  <c r="CF89" i="33"/>
  <c r="BR89" i="33"/>
  <c r="BJ89" i="33"/>
  <c r="BB89" i="33"/>
  <c r="BK89" i="33"/>
  <c r="CE89" i="33"/>
  <c r="CU89" i="33"/>
  <c r="BI90" i="33"/>
  <c r="CD90" i="33"/>
  <c r="BH91" i="33"/>
  <c r="CY91" i="33"/>
  <c r="CP91" i="33"/>
  <c r="BD92" i="33"/>
  <c r="CO92" i="33"/>
  <c r="CX95" i="33"/>
  <c r="CP95" i="33"/>
  <c r="CH95" i="33"/>
  <c r="CW95" i="33"/>
  <c r="CO95" i="33"/>
  <c r="CG95" i="33"/>
  <c r="CU95" i="33"/>
  <c r="CM95" i="33"/>
  <c r="CE95" i="33"/>
  <c r="CR95" i="33"/>
  <c r="CJ95" i="33"/>
  <c r="CB95" i="33"/>
  <c r="CL95" i="33"/>
  <c r="CK95" i="33"/>
  <c r="CY95" i="33"/>
  <c r="CI95" i="33"/>
  <c r="CS95" i="33"/>
  <c r="CC95" i="33"/>
  <c r="AT167" i="33"/>
  <c r="AT132" i="33"/>
  <c r="BZ122" i="33"/>
  <c r="BZ125" i="33"/>
  <c r="BZ102" i="33"/>
  <c r="DC105" i="33"/>
  <c r="DC128" i="33"/>
  <c r="DC82" i="33"/>
  <c r="DC116" i="33" s="1"/>
  <c r="DC77" i="33"/>
  <c r="DC111" i="33" s="1"/>
  <c r="CS90" i="33"/>
  <c r="CK90" i="33"/>
  <c r="CC90" i="33"/>
  <c r="BO90" i="33"/>
  <c r="BG90" i="33"/>
  <c r="AY90" i="33"/>
  <c r="CR90" i="33"/>
  <c r="CJ90" i="33"/>
  <c r="CB90" i="33"/>
  <c r="BN90" i="33"/>
  <c r="BF90" i="33"/>
  <c r="AX90" i="33"/>
  <c r="BM90" i="33"/>
  <c r="BE90" i="33"/>
  <c r="AW90" i="33"/>
  <c r="CV90" i="33"/>
  <c r="CN90" i="33"/>
  <c r="CF90" i="33"/>
  <c r="BR90" i="33"/>
  <c r="BJ90" i="33"/>
  <c r="BB90" i="33"/>
  <c r="BK90" i="33"/>
  <c r="CE90" i="33"/>
  <c r="CU90" i="33"/>
  <c r="BI91" i="33"/>
  <c r="CD91" i="33"/>
  <c r="BH92" i="33"/>
  <c r="CY92" i="33"/>
  <c r="CP92" i="33"/>
  <c r="N134" i="33"/>
  <c r="N138" i="33"/>
  <c r="N129" i="33"/>
  <c r="C110" i="33"/>
  <c r="V134" i="33"/>
  <c r="V138" i="33"/>
  <c r="V129" i="33"/>
  <c r="AD129" i="33"/>
  <c r="AD134" i="33"/>
  <c r="AD138" i="33"/>
  <c r="AT171" i="33"/>
  <c r="AT136" i="33"/>
  <c r="DC125" i="33"/>
  <c r="DC102" i="33"/>
  <c r="DC91" i="33"/>
  <c r="DC155" i="33" s="1"/>
  <c r="BZ130" i="33"/>
  <c r="BZ107" i="33"/>
  <c r="BZ96" i="33"/>
  <c r="BZ159" i="33" s="1"/>
  <c r="BZ85" i="33"/>
  <c r="BZ118" i="33" s="1"/>
  <c r="AV90" i="33"/>
  <c r="BL90" i="33"/>
  <c r="CG90" i="33"/>
  <c r="CW90" i="33"/>
  <c r="CS91" i="33"/>
  <c r="CK91" i="33"/>
  <c r="CC91" i="33"/>
  <c r="BO91" i="33"/>
  <c r="BG91" i="33"/>
  <c r="AY91" i="33"/>
  <c r="CR91" i="33"/>
  <c r="CJ91" i="33"/>
  <c r="CB91" i="33"/>
  <c r="BN91" i="33"/>
  <c r="BF91" i="33"/>
  <c r="AX91" i="33"/>
  <c r="BM91" i="33"/>
  <c r="BE91" i="33"/>
  <c r="AW91" i="33"/>
  <c r="CV91" i="33"/>
  <c r="CN91" i="33"/>
  <c r="CF91" i="33"/>
  <c r="BR91" i="33"/>
  <c r="BJ91" i="33"/>
  <c r="BB91" i="33"/>
  <c r="BK91" i="33"/>
  <c r="CE91" i="33"/>
  <c r="CU91" i="33"/>
  <c r="BI92" i="33"/>
  <c r="CD92" i="33"/>
  <c r="AT158" i="33"/>
  <c r="AT84" i="33"/>
  <c r="J129" i="33"/>
  <c r="Z129" i="33"/>
  <c r="C114" i="33"/>
  <c r="D114" i="33" s="1"/>
  <c r="CS92" i="33"/>
  <c r="CK92" i="33"/>
  <c r="CC92" i="33"/>
  <c r="BO92" i="33"/>
  <c r="BG92" i="33"/>
  <c r="AY92" i="33"/>
  <c r="CR92" i="33"/>
  <c r="CJ92" i="33"/>
  <c r="CB92" i="33"/>
  <c r="BN92" i="33"/>
  <c r="BF92" i="33"/>
  <c r="AX92" i="33"/>
  <c r="BM92" i="33"/>
  <c r="BE92" i="33"/>
  <c r="AW92" i="33"/>
  <c r="CV92" i="33"/>
  <c r="CN92" i="33"/>
  <c r="CF92" i="33"/>
  <c r="BR92" i="33"/>
  <c r="BJ92" i="33"/>
  <c r="BB92" i="33"/>
  <c r="BK92" i="33"/>
  <c r="CE92" i="33"/>
  <c r="CU92" i="33"/>
  <c r="DY96" i="33"/>
  <c r="DQ96" i="33"/>
  <c r="DI96" i="33"/>
  <c r="DX96" i="33"/>
  <c r="DP96" i="33"/>
  <c r="DH96" i="33"/>
  <c r="DW96" i="33"/>
  <c r="DO96" i="33"/>
  <c r="DG96" i="33"/>
  <c r="DV96" i="33"/>
  <c r="DN96" i="33"/>
  <c r="DF96" i="33"/>
  <c r="DU96" i="33"/>
  <c r="DM96" i="33"/>
  <c r="DE96" i="33"/>
  <c r="DZ96" i="33"/>
  <c r="DR96" i="33"/>
  <c r="DJ96" i="33"/>
  <c r="EB96" i="33"/>
  <c r="EA96" i="33"/>
  <c r="DT96" i="33"/>
  <c r="DK96" i="33"/>
  <c r="AT176" i="33"/>
  <c r="AT141" i="33"/>
  <c r="AT173" i="33"/>
  <c r="AT138" i="33"/>
  <c r="BZ124" i="33"/>
  <c r="BZ101" i="33"/>
  <c r="BZ78" i="33"/>
  <c r="BZ112" i="33" s="1"/>
  <c r="DC127" i="33"/>
  <c r="DC104" i="33"/>
  <c r="DC93" i="33"/>
  <c r="DC81" i="33"/>
  <c r="DC115" i="33" s="1"/>
  <c r="BZ82" i="33"/>
  <c r="BZ116" i="33" s="1"/>
  <c r="CY87" i="33"/>
  <c r="BZ88" i="33"/>
  <c r="BZ152" i="33" s="1"/>
  <c r="BC89" i="33"/>
  <c r="BS89" i="33"/>
  <c r="CM89" i="33"/>
  <c r="BA90" i="33"/>
  <c r="BQ90" i="33"/>
  <c r="CL90" i="33"/>
  <c r="AZ91" i="33"/>
  <c r="BP91" i="33"/>
  <c r="CH91" i="33"/>
  <c r="CX91" i="33"/>
  <c r="AV92" i="33"/>
  <c r="BL92" i="33"/>
  <c r="CG92" i="33"/>
  <c r="CW92" i="33"/>
  <c r="I129" i="33"/>
  <c r="DL96" i="33"/>
  <c r="CY88" i="33"/>
  <c r="CX92" i="33"/>
  <c r="K138" i="33"/>
  <c r="DL93" i="33"/>
  <c r="EB93" i="33"/>
  <c r="L138" i="33"/>
  <c r="L134" i="33"/>
  <c r="L129" i="33"/>
  <c r="T138" i="33"/>
  <c r="T134" i="33"/>
  <c r="T129" i="33"/>
  <c r="AB138" i="33"/>
  <c r="AB129" i="33"/>
  <c r="AB134" i="33"/>
  <c r="DL95" i="33"/>
  <c r="EB95" i="33"/>
  <c r="K136" i="33"/>
  <c r="K131" i="33"/>
  <c r="K140" i="33"/>
  <c r="S136" i="33"/>
  <c r="S131" i="33"/>
  <c r="S140" i="33"/>
  <c r="AA136" i="33"/>
  <c r="AA131" i="33"/>
  <c r="AA140" i="33"/>
  <c r="CI87" i="33"/>
  <c r="CQ87" i="33"/>
  <c r="DJ87" i="33"/>
  <c r="DR87" i="33"/>
  <c r="DZ87" i="33"/>
  <c r="CI88" i="33"/>
  <c r="CQ88" i="33"/>
  <c r="DJ88" i="33"/>
  <c r="DR88" i="33"/>
  <c r="DZ88" i="33"/>
  <c r="CI89" i="33"/>
  <c r="CQ89" i="33"/>
  <c r="DJ89" i="33"/>
  <c r="DR89" i="33"/>
  <c r="DZ89" i="33"/>
  <c r="CI90" i="33"/>
  <c r="CQ90" i="33"/>
  <c r="DJ90" i="33"/>
  <c r="DR90" i="33"/>
  <c r="DZ90" i="33"/>
  <c r="CI91" i="33"/>
  <c r="CQ91" i="33"/>
  <c r="DJ91" i="33"/>
  <c r="DR91" i="33"/>
  <c r="DZ91" i="33"/>
  <c r="CI92" i="33"/>
  <c r="CQ92" i="33"/>
  <c r="DJ92" i="33"/>
  <c r="O134" i="33"/>
  <c r="O129" i="33"/>
  <c r="O138" i="33"/>
  <c r="W138" i="33"/>
  <c r="W134" i="33"/>
  <c r="W129" i="33"/>
  <c r="AE134" i="33"/>
  <c r="AE138" i="33"/>
  <c r="AE129" i="33"/>
  <c r="BH94" i="33"/>
  <c r="CB94" i="33"/>
  <c r="AT168" i="33"/>
  <c r="AT133" i="33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EA93" i="33"/>
  <c r="DS93" i="33"/>
  <c r="DK93" i="33"/>
  <c r="DZ93" i="33"/>
  <c r="DR93" i="33"/>
  <c r="DJ93" i="33"/>
  <c r="DX93" i="33"/>
  <c r="DP93" i="33"/>
  <c r="DH93" i="33"/>
  <c r="DU93" i="33"/>
  <c r="DM93" i="33"/>
  <c r="DE93" i="33"/>
  <c r="DT93" i="33"/>
  <c r="H129" i="33"/>
  <c r="DY95" i="33"/>
  <c r="DQ95" i="33"/>
  <c r="DI95" i="33"/>
  <c r="DX95" i="33"/>
  <c r="DP95" i="33"/>
  <c r="DH95" i="33"/>
  <c r="DV95" i="33"/>
  <c r="DN95" i="33"/>
  <c r="DF95" i="33"/>
  <c r="EA95" i="33"/>
  <c r="DS95" i="33"/>
  <c r="DK95" i="33"/>
  <c r="DT95" i="33"/>
  <c r="DK160" i="33"/>
  <c r="DK161" i="33" s="1"/>
  <c r="DK162" i="33" s="1"/>
  <c r="DS160" i="33"/>
  <c r="DS161" i="33" s="1"/>
  <c r="DS162" i="33" s="1"/>
  <c r="EA160" i="33"/>
  <c r="EA161" i="33" s="1"/>
  <c r="EA162" i="33" s="1"/>
  <c r="H135" i="33"/>
  <c r="H130" i="33"/>
  <c r="C111" i="33"/>
  <c r="H139" i="33"/>
  <c r="C123" i="33"/>
  <c r="D123" i="33" s="1"/>
  <c r="P135" i="33"/>
  <c r="P130" i="33"/>
  <c r="P139" i="33"/>
  <c r="X135" i="33"/>
  <c r="X130" i="33"/>
  <c r="X139" i="33"/>
  <c r="O131" i="33"/>
  <c r="W136" i="33"/>
  <c r="AE131" i="33"/>
  <c r="DL87" i="33"/>
  <c r="DT87" i="33"/>
  <c r="DL88" i="33"/>
  <c r="DT88" i="33"/>
  <c r="DL89" i="33"/>
  <c r="DT89" i="33"/>
  <c r="DL90" i="33"/>
  <c r="DT90" i="33"/>
  <c r="DL91" i="33"/>
  <c r="DT91" i="33"/>
  <c r="EA92" i="33"/>
  <c r="DS92" i="33"/>
  <c r="DZ92" i="33"/>
  <c r="DR92" i="33"/>
  <c r="DX92" i="33"/>
  <c r="DP92" i="33"/>
  <c r="DU92" i="33"/>
  <c r="DM92" i="33"/>
  <c r="DL92" i="33"/>
  <c r="EB92" i="33"/>
  <c r="DF93" i="33"/>
  <c r="DV93" i="33"/>
  <c r="I138" i="33"/>
  <c r="I134" i="33"/>
  <c r="Q138" i="33"/>
  <c r="Q129" i="33"/>
  <c r="Q134" i="33"/>
  <c r="Y138" i="33"/>
  <c r="Y134" i="33"/>
  <c r="BM94" i="33"/>
  <c r="BE94" i="33"/>
  <c r="AW94" i="33"/>
  <c r="BL94" i="33"/>
  <c r="BD94" i="33"/>
  <c r="AV94" i="33"/>
  <c r="CN94" i="33"/>
  <c r="CF94" i="33"/>
  <c r="BR94" i="33"/>
  <c r="BJ94" i="33"/>
  <c r="BB94" i="33"/>
  <c r="BO94" i="33"/>
  <c r="BG94" i="33"/>
  <c r="AY94" i="33"/>
  <c r="BK94" i="33"/>
  <c r="CE94" i="33"/>
  <c r="CU94" i="33"/>
  <c r="DE95" i="33"/>
  <c r="DU95" i="33"/>
  <c r="CI160" i="33"/>
  <c r="CI161" i="33" s="1"/>
  <c r="CI162" i="33" s="1"/>
  <c r="CQ160" i="33"/>
  <c r="CQ161" i="33" s="1"/>
  <c r="CQ162" i="33" s="1"/>
  <c r="CY160" i="33"/>
  <c r="CY161" i="33" s="1"/>
  <c r="CY162" i="33" s="1"/>
  <c r="C112" i="33"/>
  <c r="X136" i="33"/>
  <c r="Y129" i="33"/>
  <c r="AT175" i="33"/>
  <c r="AT140" i="33"/>
  <c r="C117" i="33"/>
  <c r="D117" i="33" s="1"/>
  <c r="J140" i="33"/>
  <c r="J131" i="33"/>
  <c r="J136" i="33"/>
  <c r="C115" i="33"/>
  <c r="D115" i="33" s="1"/>
  <c r="R140" i="33"/>
  <c r="R131" i="33"/>
  <c r="R136" i="33"/>
  <c r="Z140" i="33"/>
  <c r="Z131" i="33"/>
  <c r="Z136" i="33"/>
  <c r="AZ93" i="33"/>
  <c r="BH93" i="33"/>
  <c r="BP93" i="33"/>
  <c r="CD93" i="33"/>
  <c r="CL93" i="33"/>
  <c r="CT93" i="33"/>
  <c r="M134" i="33"/>
  <c r="M129" i="33"/>
  <c r="U134" i="33"/>
  <c r="U138" i="33"/>
  <c r="U129" i="33"/>
  <c r="AC134" i="33"/>
  <c r="CC94" i="33"/>
  <c r="CK94" i="33"/>
  <c r="CS94" i="33"/>
  <c r="DL94" i="33"/>
  <c r="DT94" i="33"/>
  <c r="EB94" i="33"/>
  <c r="AX95" i="33"/>
  <c r="BF95" i="33"/>
  <c r="BN95" i="33"/>
  <c r="AW96" i="33"/>
  <c r="BE96" i="33"/>
  <c r="BM96" i="33"/>
  <c r="CI96" i="33"/>
  <c r="CQ96" i="33"/>
  <c r="CY96" i="33"/>
  <c r="BJ160" i="33"/>
  <c r="BJ161" i="33" s="1"/>
  <c r="BJ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0" i="33"/>
  <c r="N139" i="33"/>
  <c r="V130" i="33"/>
  <c r="V135" i="33"/>
  <c r="AD130" i="33"/>
  <c r="AD139" i="33"/>
  <c r="I131" i="33"/>
  <c r="I140" i="33"/>
  <c r="Q131" i="33"/>
  <c r="Q136" i="33"/>
  <c r="Y140" i="33"/>
  <c r="Y131" i="33"/>
  <c r="C118" i="33"/>
  <c r="D118" i="33" s="1"/>
  <c r="BC93" i="33"/>
  <c r="BK93" i="33"/>
  <c r="BS93" i="33"/>
  <c r="CG93" i="33"/>
  <c r="CO93" i="33"/>
  <c r="CW93" i="33"/>
  <c r="H134" i="33"/>
  <c r="H138" i="33"/>
  <c r="P134" i="33"/>
  <c r="P138" i="33"/>
  <c r="X134" i="33"/>
  <c r="X138" i="33"/>
  <c r="X129" i="33"/>
  <c r="CV94" i="33"/>
  <c r="DO94" i="33"/>
  <c r="DW94" i="33"/>
  <c r="BA95" i="33"/>
  <c r="BI95" i="33"/>
  <c r="BQ95" i="33"/>
  <c r="AZ96" i="33"/>
  <c r="BH96" i="33"/>
  <c r="BP96" i="33"/>
  <c r="CD96" i="33"/>
  <c r="CL96" i="33"/>
  <c r="CT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0" i="33"/>
  <c r="I135" i="33"/>
  <c r="Q130" i="33"/>
  <c r="Q135" i="33"/>
  <c r="Q139" i="33"/>
  <c r="Y130" i="33"/>
  <c r="Y135" i="33"/>
  <c r="C113" i="33"/>
  <c r="D113" i="33" s="1"/>
  <c r="L131" i="33"/>
  <c r="L136" i="33"/>
  <c r="L140" i="33"/>
  <c r="T131" i="33"/>
  <c r="T136" i="33"/>
  <c r="T140" i="33"/>
  <c r="AB140" i="33"/>
  <c r="AB131" i="33"/>
  <c r="AB136" i="33"/>
  <c r="AC129" i="33"/>
  <c r="I136" i="33"/>
  <c r="M138" i="33"/>
  <c r="CC160" i="33"/>
  <c r="CC161" i="33" s="1"/>
  <c r="CC162" i="33" s="1"/>
  <c r="CK160" i="33"/>
  <c r="CK161" i="33" s="1"/>
  <c r="CK162" i="33" s="1"/>
  <c r="CS160" i="33"/>
  <c r="CS161" i="33" s="1"/>
  <c r="CS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J135" i="33"/>
  <c r="J130" i="33"/>
  <c r="J139" i="33"/>
  <c r="R139" i="33"/>
  <c r="R135" i="33"/>
  <c r="Z135" i="33"/>
  <c r="Z130" i="33"/>
  <c r="Z139" i="33"/>
  <c r="C116" i="33"/>
  <c r="D116" i="33" s="1"/>
  <c r="M136" i="33"/>
  <c r="U136" i="33"/>
  <c r="U140" i="33"/>
  <c r="U131" i="33"/>
  <c r="AC140" i="33"/>
  <c r="AC136" i="33"/>
  <c r="R130" i="33"/>
  <c r="AD135" i="33"/>
  <c r="AW93" i="33"/>
  <c r="BE93" i="33"/>
  <c r="BM93" i="33"/>
  <c r="CI93" i="33"/>
  <c r="CQ93" i="33"/>
  <c r="CY93" i="33"/>
  <c r="J138" i="33"/>
  <c r="J134" i="33"/>
  <c r="R138" i="33"/>
  <c r="Z138" i="33"/>
  <c r="Z134" i="33"/>
  <c r="CH94" i="33"/>
  <c r="CP94" i="33"/>
  <c r="CX94" i="33"/>
  <c r="DI94" i="33"/>
  <c r="DQ94" i="33"/>
  <c r="DY94" i="33"/>
  <c r="BC95" i="33"/>
  <c r="BK95" i="33"/>
  <c r="BS95" i="33"/>
  <c r="BB96" i="33"/>
  <c r="BJ96" i="33"/>
  <c r="BR96" i="33"/>
  <c r="CF96" i="33"/>
  <c r="CN96" i="33"/>
  <c r="CV96" i="33"/>
  <c r="BG160" i="33"/>
  <c r="BG161" i="33" s="1"/>
  <c r="BG162" i="33" s="1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5" i="33"/>
  <c r="K139" i="33"/>
  <c r="K130" i="33"/>
  <c r="S135" i="33"/>
  <c r="S139" i="33"/>
  <c r="AA135" i="33"/>
  <c r="AA139" i="33"/>
  <c r="AA141" i="33" s="1"/>
  <c r="AA130" i="33"/>
  <c r="N136" i="33"/>
  <c r="N140" i="33"/>
  <c r="V136" i="33"/>
  <c r="V140" i="33"/>
  <c r="V131" i="33"/>
  <c r="AD136" i="33"/>
  <c r="AD140" i="33"/>
  <c r="C122" i="33"/>
  <c r="D122" i="33" s="1"/>
  <c r="P129" i="33"/>
  <c r="S130" i="33"/>
  <c r="AX93" i="33"/>
  <c r="BF93" i="33"/>
  <c r="CB93" i="33"/>
  <c r="CJ93" i="33"/>
  <c r="K134" i="33"/>
  <c r="K129" i="33"/>
  <c r="S129" i="33"/>
  <c r="S138" i="33"/>
  <c r="AA129" i="33"/>
  <c r="AA134" i="33"/>
  <c r="CI94" i="33"/>
  <c r="CQ94" i="33"/>
  <c r="DJ94" i="33"/>
  <c r="DR94" i="33"/>
  <c r="AV95" i="33"/>
  <c r="BD95" i="33"/>
  <c r="BC96" i="33"/>
  <c r="BK96" i="33"/>
  <c r="CG96" i="33"/>
  <c r="CO96" i="33"/>
  <c r="BH160" i="33"/>
  <c r="BH161" i="33" s="1"/>
  <c r="BH162" i="33" s="1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9" i="33"/>
  <c r="L130" i="33"/>
  <c r="T139" i="33"/>
  <c r="T135" i="33"/>
  <c r="AB139" i="33"/>
  <c r="AB130" i="33"/>
  <c r="O140" i="33"/>
  <c r="O136" i="33"/>
  <c r="W140" i="33"/>
  <c r="W131" i="33"/>
  <c r="AE140" i="33"/>
  <c r="AE136" i="33"/>
  <c r="C119" i="33"/>
  <c r="D119" i="33" s="1"/>
  <c r="T130" i="33"/>
  <c r="M131" i="33"/>
  <c r="R134" i="33"/>
  <c r="R137" i="33" s="1"/>
  <c r="Y136" i="33"/>
  <c r="AC138" i="33"/>
  <c r="I139" i="33"/>
  <c r="BI160" i="33"/>
  <c r="BI161" i="33" s="1"/>
  <c r="BI162" i="33" s="1"/>
  <c r="M139" i="33"/>
  <c r="M130" i="33"/>
  <c r="U139" i="33"/>
  <c r="U130" i="33"/>
  <c r="U135" i="33"/>
  <c r="AC139" i="33"/>
  <c r="AC130" i="33"/>
  <c r="H140" i="33"/>
  <c r="H131" i="33"/>
  <c r="P140" i="33"/>
  <c r="P131" i="33"/>
  <c r="P136" i="33"/>
  <c r="X140" i="33"/>
  <c r="X131" i="33"/>
  <c r="C121" i="33"/>
  <c r="D121" i="33" s="1"/>
  <c r="R129" i="33"/>
  <c r="N131" i="33"/>
  <c r="S134" i="33"/>
  <c r="L135" i="33"/>
  <c r="V139" i="33"/>
  <c r="AC29" i="29"/>
  <c r="Y29" i="29"/>
  <c r="Z29" i="29"/>
  <c r="X29" i="29"/>
  <c r="W29" i="29"/>
  <c r="AB29" i="29"/>
  <c r="AA29" i="29"/>
  <c r="Y25" i="29"/>
  <c r="X25" i="29"/>
  <c r="W25" i="29"/>
  <c r="AC25" i="29"/>
  <c r="AB25" i="29"/>
  <c r="AA25" i="29"/>
  <c r="Z25" i="29"/>
  <c r="X26" i="29"/>
  <c r="W26" i="29"/>
  <c r="AC26" i="29"/>
  <c r="AB26" i="29"/>
  <c r="Z26" i="29"/>
  <c r="AA26" i="29"/>
  <c r="Y26" i="29"/>
  <c r="AC32" i="29"/>
  <c r="Y32" i="29"/>
  <c r="W32" i="29"/>
  <c r="AA32" i="29"/>
  <c r="AB32" i="29"/>
  <c r="Z32" i="29"/>
  <c r="X32" i="29"/>
  <c r="AB24" i="29"/>
  <c r="AC28" i="29"/>
  <c r="AC24" i="29"/>
  <c r="W27" i="29"/>
  <c r="Y33" i="29"/>
  <c r="AC171" i="29"/>
  <c r="AB176" i="29"/>
  <c r="AB171" i="29"/>
  <c r="V194" i="29"/>
  <c r="AG194" i="29"/>
  <c r="W194" i="29"/>
  <c r="AF194" i="29"/>
  <c r="U194" i="29"/>
  <c r="AJ194" i="29"/>
  <c r="AI194" i="29"/>
  <c r="AE194" i="29"/>
  <c r="W24" i="29"/>
  <c r="Y27" i="29"/>
  <c r="W28" i="29"/>
  <c r="AB33" i="29"/>
  <c r="AB202" i="29"/>
  <c r="AA202" i="29"/>
  <c r="AD202" i="29" s="1"/>
  <c r="AH202" i="29" s="1"/>
  <c r="AA171" i="29"/>
  <c r="U175" i="29"/>
  <c r="AJ175" i="29"/>
  <c r="AI175" i="29"/>
  <c r="AG175" i="29"/>
  <c r="AF175" i="29"/>
  <c r="W175" i="29"/>
  <c r="AJ188" i="29"/>
  <c r="AF188" i="29"/>
  <c r="AG188" i="29"/>
  <c r="U188" i="29"/>
  <c r="W188" i="29"/>
  <c r="V188" i="29"/>
  <c r="AI188" i="29"/>
  <c r="AI191" i="29"/>
  <c r="AE191" i="29"/>
  <c r="W191" i="29"/>
  <c r="AG191" i="29"/>
  <c r="V191" i="29"/>
  <c r="AF191" i="29"/>
  <c r="U191" i="29"/>
  <c r="Y24" i="29"/>
  <c r="AB27" i="29"/>
  <c r="Z28" i="29"/>
  <c r="X31" i="29"/>
  <c r="AB31" i="29"/>
  <c r="AA175" i="29"/>
  <c r="AB181" i="29"/>
  <c r="AA181" i="29"/>
  <c r="AB188" i="29"/>
  <c r="AA188" i="29"/>
  <c r="Z24" i="29"/>
  <c r="AC27" i="29"/>
  <c r="AA28" i="29"/>
  <c r="AI173" i="29"/>
  <c r="AG173" i="29"/>
  <c r="AF173" i="29"/>
  <c r="AE173" i="29"/>
  <c r="W173" i="29"/>
  <c r="V173" i="29"/>
  <c r="U173" i="29"/>
  <c r="V175" i="29"/>
  <c r="AA177" i="29"/>
  <c r="AD177" i="29" s="1"/>
  <c r="AH177" i="29" s="1"/>
  <c r="AA195" i="29"/>
  <c r="AC195" i="29"/>
  <c r="AB195" i="29"/>
  <c r="V198" i="29"/>
  <c r="AI198" i="29"/>
  <c r="AF198" i="29"/>
  <c r="AE198" i="29"/>
  <c r="W198" i="29"/>
  <c r="AJ198" i="29"/>
  <c r="U198" i="29"/>
  <c r="AA24" i="29"/>
  <c r="AB28" i="29"/>
  <c r="Y30" i="29"/>
  <c r="Y31" i="29"/>
  <c r="W33" i="29"/>
  <c r="V172" i="29"/>
  <c r="U172" i="29"/>
  <c r="AJ172" i="29"/>
  <c r="AI172" i="29"/>
  <c r="AG172" i="29"/>
  <c r="AF172" i="29"/>
  <c r="AE177" i="29"/>
  <c r="AJ191" i="29"/>
  <c r="Y28" i="29"/>
  <c r="AB177" i="29"/>
  <c r="AG177" i="29"/>
  <c r="V181" i="29"/>
  <c r="U181" i="29"/>
  <c r="AG181" i="29"/>
  <c r="AA183" i="29"/>
  <c r="AD183" i="29" s="1"/>
  <c r="AB190" i="29"/>
  <c r="AD173" i="29"/>
  <c r="AH173" i="29" s="1"/>
  <c r="AA174" i="29"/>
  <c r="AD174" i="29" s="1"/>
  <c r="AH174" i="29" s="1"/>
  <c r="AI178" i="29"/>
  <c r="AB180" i="29"/>
  <c r="AA180" i="29"/>
  <c r="AD180" i="29" s="1"/>
  <c r="AH180" i="29" s="1"/>
  <c r="AB183" i="29"/>
  <c r="AC184" i="29"/>
  <c r="AD185" i="29"/>
  <c r="AH185" i="29" s="1"/>
  <c r="AB189" i="29"/>
  <c r="AC189" i="29"/>
  <c r="AA189" i="29"/>
  <c r="AA196" i="29"/>
  <c r="AC196" i="29"/>
  <c r="AB199" i="29"/>
  <c r="AC204" i="29"/>
  <c r="AA206" i="29"/>
  <c r="AD206" i="29" s="1"/>
  <c r="AH206" i="29" s="1"/>
  <c r="S228" i="29"/>
  <c r="AB164" i="29"/>
  <c r="AC172" i="29"/>
  <c r="AE172" i="29" s="1"/>
  <c r="AB174" i="29"/>
  <c r="AJ174" i="29"/>
  <c r="AB175" i="29"/>
  <c r="AI177" i="29"/>
  <c r="AC179" i="29"/>
  <c r="AE179" i="29" s="1"/>
  <c r="AJ181" i="29"/>
  <c r="AA184" i="29"/>
  <c r="AG185" i="29"/>
  <c r="V185" i="29"/>
  <c r="AF185" i="29"/>
  <c r="AA187" i="29"/>
  <c r="AB196" i="29"/>
  <c r="AC203" i="29"/>
  <c r="AD203" i="29" s="1"/>
  <c r="AB203" i="29"/>
  <c r="AA172" i="29"/>
  <c r="AC175" i="29"/>
  <c r="AJ177" i="29"/>
  <c r="AJ179" i="29"/>
  <c r="AI179" i="29"/>
  <c r="AG180" i="29"/>
  <c r="AF180" i="29"/>
  <c r="U180" i="29"/>
  <c r="AB187" i="29"/>
  <c r="AC188" i="29"/>
  <c r="AA190" i="29"/>
  <c r="AD190" i="29" s="1"/>
  <c r="AH190" i="29" s="1"/>
  <c r="AB193" i="29"/>
  <c r="AB197" i="29"/>
  <c r="AA197" i="29"/>
  <c r="AD197" i="29" s="1"/>
  <c r="AH197" i="29" s="1"/>
  <c r="AB172" i="29"/>
  <c r="AB173" i="29"/>
  <c r="AA176" i="29"/>
  <c r="AD176" i="29" s="1"/>
  <c r="U177" i="29"/>
  <c r="AB179" i="29"/>
  <c r="V180" i="29"/>
  <c r="AI180" i="29"/>
  <c r="AA182" i="29"/>
  <c r="AD182" i="29" s="1"/>
  <c r="AH182" i="29" s="1"/>
  <c r="AB184" i="29"/>
  <c r="W185" i="29"/>
  <c r="AJ185" i="29"/>
  <c r="V190" i="29"/>
  <c r="AJ190" i="29"/>
  <c r="AF190" i="29"/>
  <c r="U190" i="29"/>
  <c r="AI190" i="29"/>
  <c r="AG197" i="29"/>
  <c r="U197" i="29"/>
  <c r="W197" i="29"/>
  <c r="AJ197" i="29"/>
  <c r="AA200" i="29"/>
  <c r="AD200" i="29" s="1"/>
  <c r="AB201" i="29"/>
  <c r="AA201" i="29"/>
  <c r="AD201" i="29" s="1"/>
  <c r="AH201" i="29" s="1"/>
  <c r="V177" i="29"/>
  <c r="AC178" i="29"/>
  <c r="AD178" i="29" s="1"/>
  <c r="AH178" i="29" s="1"/>
  <c r="U179" i="29"/>
  <c r="W180" i="29"/>
  <c r="AJ180" i="29"/>
  <c r="AI182" i="29"/>
  <c r="AE182" i="29"/>
  <c r="W182" i="29"/>
  <c r="AF182" i="29"/>
  <c r="AB204" i="29"/>
  <c r="AA204" i="29"/>
  <c r="AA207" i="29"/>
  <c r="AD207" i="29" s="1"/>
  <c r="AH207" i="29" s="1"/>
  <c r="W177" i="29"/>
  <c r="W178" i="29"/>
  <c r="V178" i="29"/>
  <c r="AF178" i="29"/>
  <c r="V179" i="29"/>
  <c r="AF179" i="29"/>
  <c r="AC181" i="29"/>
  <c r="AE181" i="29" s="1"/>
  <c r="U182" i="29"/>
  <c r="AG182" i="29"/>
  <c r="AA193" i="29"/>
  <c r="AD193" i="29" s="1"/>
  <c r="AD194" i="29"/>
  <c r="AH194" i="29" s="1"/>
  <c r="AB194" i="29"/>
  <c r="AB198" i="29"/>
  <c r="AB200" i="29"/>
  <c r="U201" i="29"/>
  <c r="AG201" i="29"/>
  <c r="AI201" i="29"/>
  <c r="W201" i="29"/>
  <c r="AB205" i="29"/>
  <c r="AC205" i="29"/>
  <c r="AD205" i="29" s="1"/>
  <c r="AI207" i="29"/>
  <c r="AE207" i="29"/>
  <c r="W207" i="29"/>
  <c r="AG207" i="29"/>
  <c r="V207" i="29"/>
  <c r="AF207" i="29"/>
  <c r="U207" i="29"/>
  <c r="V202" i="29"/>
  <c r="AE202" i="29"/>
  <c r="AA179" i="29"/>
  <c r="AB185" i="29"/>
  <c r="AA192" i="29"/>
  <c r="AD192" i="29" s="1"/>
  <c r="AA199" i="29"/>
  <c r="AD199" i="29" s="1"/>
  <c r="AI202" i="29"/>
  <c r="V206" i="29"/>
  <c r="AE206" i="29"/>
  <c r="AB192" i="29"/>
  <c r="AD198" i="29"/>
  <c r="AH198" i="29" s="1"/>
  <c r="AJ202" i="29"/>
  <c r="AF206" i="29"/>
  <c r="U166" i="29" l="1"/>
  <c r="V166" i="29"/>
  <c r="AD170" i="32"/>
  <c r="C55" i="30"/>
  <c r="AI186" i="32"/>
  <c r="AF170" i="29"/>
  <c r="U170" i="29"/>
  <c r="AD164" i="32"/>
  <c r="AJ164" i="32" s="1"/>
  <c r="AI170" i="29"/>
  <c r="V170" i="29"/>
  <c r="W164" i="32"/>
  <c r="AE166" i="29"/>
  <c r="AE170" i="29"/>
  <c r="AE164" i="32"/>
  <c r="AG186" i="32"/>
  <c r="AF164" i="32"/>
  <c r="U164" i="32"/>
  <c r="V168" i="32"/>
  <c r="AG170" i="29"/>
  <c r="AA240" i="32"/>
  <c r="AB240" i="32" s="1"/>
  <c r="C310" i="33"/>
  <c r="U168" i="32"/>
  <c r="AK231" i="33"/>
  <c r="AO231" i="33" s="1"/>
  <c r="AR231" i="33" s="1"/>
  <c r="AS231" i="33" s="1"/>
  <c r="E16" i="30"/>
  <c r="Y16" i="30"/>
  <c r="V168" i="29"/>
  <c r="AE168" i="32"/>
  <c r="U186" i="32"/>
  <c r="V186" i="32"/>
  <c r="W186" i="32"/>
  <c r="AF186" i="29"/>
  <c r="AI186" i="29"/>
  <c r="AD166" i="32"/>
  <c r="AI166" i="32" s="1"/>
  <c r="AF168" i="29"/>
  <c r="W168" i="29"/>
  <c r="AG168" i="29"/>
  <c r="AD167" i="29"/>
  <c r="AH167" i="29" s="1"/>
  <c r="AF166" i="32"/>
  <c r="AG166" i="32"/>
  <c r="U166" i="32"/>
  <c r="W166" i="32"/>
  <c r="AE166" i="32"/>
  <c r="B109" i="31"/>
  <c r="B112" i="31" s="1"/>
  <c r="AD19" i="30"/>
  <c r="AF19" i="30" s="1"/>
  <c r="G8" i="30"/>
  <c r="G201" i="30" s="1"/>
  <c r="G212" i="30" s="1"/>
  <c r="AF166" i="29"/>
  <c r="AD168" i="32"/>
  <c r="AH168" i="32" s="1"/>
  <c r="M16" i="30"/>
  <c r="Y19" i="30"/>
  <c r="W17" i="30"/>
  <c r="X30" i="32"/>
  <c r="AG35" i="32"/>
  <c r="AI35" i="32" s="1"/>
  <c r="AI36" i="32" s="1"/>
  <c r="AD186" i="29"/>
  <c r="AJ186" i="29" s="1"/>
  <c r="AG186" i="29"/>
  <c r="W186" i="29"/>
  <c r="AE186" i="29"/>
  <c r="U186" i="29"/>
  <c r="AD187" i="29"/>
  <c r="AH187" i="29" s="1"/>
  <c r="Z17" i="30"/>
  <c r="S41" i="30"/>
  <c r="S42" i="30" s="1"/>
  <c r="S28" i="30" s="1"/>
  <c r="S33" i="30" s="1"/>
  <c r="CR60" i="31"/>
  <c r="CR106" i="31" s="1"/>
  <c r="CR117" i="31" s="1"/>
  <c r="W6" i="31" s="1"/>
  <c r="CK71" i="31"/>
  <c r="M38" i="30"/>
  <c r="C36" i="30"/>
  <c r="CJ60" i="31"/>
  <c r="CJ106" i="31" s="1"/>
  <c r="C191" i="33"/>
  <c r="D191" i="33" s="1"/>
  <c r="C37" i="30"/>
  <c r="S36" i="30"/>
  <c r="C38" i="30"/>
  <c r="S37" i="30"/>
  <c r="S38" i="30"/>
  <c r="S40" i="30"/>
  <c r="S27" i="30" s="1"/>
  <c r="L132" i="33"/>
  <c r="CC82" i="31"/>
  <c r="K137" i="33"/>
  <c r="M41" i="30"/>
  <c r="M42" i="30" s="1"/>
  <c r="M28" i="30" s="1"/>
  <c r="M33" i="30" s="1"/>
  <c r="AJ168" i="32"/>
  <c r="AF165" i="32"/>
  <c r="V165" i="32"/>
  <c r="AG165" i="32"/>
  <c r="U165" i="32"/>
  <c r="AE164" i="29"/>
  <c r="W164" i="29"/>
  <c r="AG164" i="29"/>
  <c r="U137" i="33"/>
  <c r="U164" i="29"/>
  <c r="V164" i="29"/>
  <c r="AI164" i="32"/>
  <c r="AG164" i="32"/>
  <c r="AD169" i="29"/>
  <c r="AH169" i="29" s="1"/>
  <c r="AD167" i="32"/>
  <c r="AH167" i="32" s="1"/>
  <c r="AJ166" i="32"/>
  <c r="CL117" i="31"/>
  <c r="Q6" i="31" s="1"/>
  <c r="AD169" i="32"/>
  <c r="AH169" i="32" s="1"/>
  <c r="C201" i="30"/>
  <c r="C212" i="30" s="1"/>
  <c r="AC30" i="32"/>
  <c r="J34" i="32" s="1"/>
  <c r="C201" i="33" s="1"/>
  <c r="AL94" i="32"/>
  <c r="BY99" i="32" s="1"/>
  <c r="AM101" i="32"/>
  <c r="BZ100" i="32" s="1"/>
  <c r="AN101" i="32"/>
  <c r="BZ101" i="32" s="1"/>
  <c r="BG101" i="32"/>
  <c r="BA72" i="31"/>
  <c r="CM62" i="31"/>
  <c r="CM108" i="31" s="1"/>
  <c r="CU61" i="31"/>
  <c r="CU107" i="31" s="1"/>
  <c r="CQ72" i="31"/>
  <c r="CQ84" i="31" s="1"/>
  <c r="CI72" i="31"/>
  <c r="CS61" i="31"/>
  <c r="CN61" i="31"/>
  <c r="CN107" i="31" s="1"/>
  <c r="CP72" i="31"/>
  <c r="CP81" i="31" s="1"/>
  <c r="CH72" i="31"/>
  <c r="CH82" i="31" s="1"/>
  <c r="CH60" i="31"/>
  <c r="CH106" i="31" s="1"/>
  <c r="CV71" i="31"/>
  <c r="CN71" i="31"/>
  <c r="CO74" i="31"/>
  <c r="BB74" i="31"/>
  <c r="BQ62" i="31"/>
  <c r="BQ108" i="31" s="1"/>
  <c r="AX81" i="31"/>
  <c r="BC72" i="31"/>
  <c r="BB61" i="31"/>
  <c r="BB107" i="31" s="1"/>
  <c r="AY72" i="31"/>
  <c r="BE71" i="31"/>
  <c r="BP60" i="31"/>
  <c r="BP106" i="31" s="1"/>
  <c r="BB71" i="31"/>
  <c r="BG60" i="31"/>
  <c r="BG106" i="31" s="1"/>
  <c r="BC60" i="31"/>
  <c r="BC106" i="31" s="1"/>
  <c r="BA71" i="31"/>
  <c r="AO192" i="33"/>
  <c r="Q201" i="30"/>
  <c r="Q212" i="30" s="1"/>
  <c r="S2" i="30"/>
  <c r="S201" i="30"/>
  <c r="S212" i="30" s="1"/>
  <c r="R201" i="30"/>
  <c r="R212" i="30" s="1"/>
  <c r="R2" i="30"/>
  <c r="BS94" i="32"/>
  <c r="BD101" i="32"/>
  <c r="AX108" i="32"/>
  <c r="CA111" i="32" s="1"/>
  <c r="CC84" i="31"/>
  <c r="AX84" i="31"/>
  <c r="CK84" i="31"/>
  <c r="AP29" i="32"/>
  <c r="J35" i="32" s="1"/>
  <c r="C202" i="33" s="1"/>
  <c r="BI73" i="31"/>
  <c r="BL73" i="31"/>
  <c r="BL82" i="31" s="1"/>
  <c r="BH73" i="31"/>
  <c r="CI71" i="31"/>
  <c r="C57" i="30"/>
  <c r="C60" i="30" s="1"/>
  <c r="C64" i="30" s="1"/>
  <c r="C58" i="30"/>
  <c r="C59" i="30"/>
  <c r="Z132" i="33"/>
  <c r="AK108" i="32"/>
  <c r="CA98" i="32" s="1"/>
  <c r="CF60" i="31"/>
  <c r="CF106" i="31" s="1"/>
  <c r="AZ62" i="31"/>
  <c r="AZ108" i="31" s="1"/>
  <c r="S132" i="33"/>
  <c r="W137" i="33"/>
  <c r="BV101" i="32"/>
  <c r="M37" i="30"/>
  <c r="CK60" i="31"/>
  <c r="CK106" i="31" s="1"/>
  <c r="DZ117" i="31"/>
  <c r="AB7" i="31" s="1"/>
  <c r="E15" i="30"/>
  <c r="BM71" i="31"/>
  <c r="BM84" i="31" s="1"/>
  <c r="DU83" i="31"/>
  <c r="CK81" i="31"/>
  <c r="BD73" i="31"/>
  <c r="BS73" i="31"/>
  <c r="BS82" i="31" s="1"/>
  <c r="AY60" i="31"/>
  <c r="AY106" i="31" s="1"/>
  <c r="CM61" i="31"/>
  <c r="CM107" i="31" s="1"/>
  <c r="Y6" i="30"/>
  <c r="Y10" i="30" s="1"/>
  <c r="Y181" i="30"/>
  <c r="Y196" i="30" s="1"/>
  <c r="AC76" i="31" s="1"/>
  <c r="C34" i="30"/>
  <c r="AF101" i="32"/>
  <c r="BZ93" i="32" s="1"/>
  <c r="CS71" i="31"/>
  <c r="CS83" i="31" s="1"/>
  <c r="BF73" i="31"/>
  <c r="BF84" i="31" s="1"/>
  <c r="AG108" i="32"/>
  <c r="CA94" i="32" s="1"/>
  <c r="N63" i="30"/>
  <c r="N49" i="30" s="1"/>
  <c r="N54" i="30" s="1"/>
  <c r="Z137" i="33"/>
  <c r="AC137" i="33"/>
  <c r="N132" i="33"/>
  <c r="AU94" i="32"/>
  <c r="BY108" i="32" s="1"/>
  <c r="AD175" i="32"/>
  <c r="AH175" i="32" s="1"/>
  <c r="U19" i="30"/>
  <c r="BD61" i="31"/>
  <c r="BD107" i="31" s="1"/>
  <c r="BR60" i="31"/>
  <c r="BR106" i="31" s="1"/>
  <c r="CJ61" i="31"/>
  <c r="CJ107" i="31" s="1"/>
  <c r="BQ60" i="31"/>
  <c r="BQ106" i="31" s="1"/>
  <c r="D53" i="30"/>
  <c r="BH60" i="31"/>
  <c r="BH106" i="31" s="1"/>
  <c r="CK61" i="31"/>
  <c r="CK107" i="31" s="1"/>
  <c r="R63" i="30"/>
  <c r="R49" i="30" s="1"/>
  <c r="R54" i="30" s="1"/>
  <c r="J61" i="30"/>
  <c r="J48" i="30" s="1"/>
  <c r="J58" i="30"/>
  <c r="J59" i="30"/>
  <c r="J62" i="30"/>
  <c r="J57" i="30"/>
  <c r="C202" i="30"/>
  <c r="CO72" i="31"/>
  <c r="P141" i="33"/>
  <c r="O141" i="33"/>
  <c r="N141" i="33"/>
  <c r="AM94" i="32"/>
  <c r="BY100" i="32" s="1"/>
  <c r="CJ79" i="32"/>
  <c r="M19" i="30"/>
  <c r="AW117" i="31"/>
  <c r="H5" i="31" s="1"/>
  <c r="BK62" i="31"/>
  <c r="BK108" i="31" s="1"/>
  <c r="DN117" i="31"/>
  <c r="P7" i="31" s="1"/>
  <c r="CD117" i="31"/>
  <c r="I6" i="31" s="1"/>
  <c r="CJ73" i="31"/>
  <c r="CJ82" i="31" s="1"/>
  <c r="DU82" i="31"/>
  <c r="BI3" i="30"/>
  <c r="BJ3" i="30"/>
  <c r="BL3" i="30"/>
  <c r="BK3" i="30"/>
  <c r="BA62" i="31"/>
  <c r="BA108" i="31" s="1"/>
  <c r="AD172" i="29"/>
  <c r="AH172" i="29" s="1"/>
  <c r="BT101" i="32"/>
  <c r="V45" i="32"/>
  <c r="AG166" i="29"/>
  <c r="R141" i="33"/>
  <c r="U141" i="33"/>
  <c r="C127" i="33"/>
  <c r="D127" i="33" s="1"/>
  <c r="Y137" i="33"/>
  <c r="L137" i="33"/>
  <c r="DL79" i="32"/>
  <c r="AD187" i="32"/>
  <c r="AI187" i="32" s="1"/>
  <c r="AV101" i="32"/>
  <c r="BZ109" i="32" s="1"/>
  <c r="AU120" i="33"/>
  <c r="AU59" i="31"/>
  <c r="CN74" i="31"/>
  <c r="BK71" i="31"/>
  <c r="BJ60" i="31"/>
  <c r="BJ106" i="31" s="1"/>
  <c r="BI60" i="31"/>
  <c r="BI106" i="31" s="1"/>
  <c r="CI73" i="31"/>
  <c r="AZ60" i="31"/>
  <c r="AZ106" i="31" s="1"/>
  <c r="DJ117" i="31"/>
  <c r="L7" i="31" s="1"/>
  <c r="BC63" i="31"/>
  <c r="BC109" i="31" s="1"/>
  <c r="BD60" i="31"/>
  <c r="BD106" i="31" s="1"/>
  <c r="K62" i="30"/>
  <c r="K59" i="30"/>
  <c r="K57" i="30"/>
  <c r="K60" i="30" s="1"/>
  <c r="K61" i="30"/>
  <c r="K48" i="30" s="1"/>
  <c r="K58" i="30"/>
  <c r="H57" i="30"/>
  <c r="H60" i="30" s="1"/>
  <c r="H61" i="30"/>
  <c r="H48" i="30" s="1"/>
  <c r="H59" i="30"/>
  <c r="H58" i="30"/>
  <c r="H62" i="30"/>
  <c r="BN73" i="31"/>
  <c r="BN81" i="31" s="1"/>
  <c r="BC62" i="31"/>
  <c r="BC108" i="31" s="1"/>
  <c r="CV61" i="31"/>
  <c r="CV107" i="31" s="1"/>
  <c r="BO60" i="31"/>
  <c r="BO106" i="31" s="1"/>
  <c r="E17" i="30"/>
  <c r="E18" i="30" s="1"/>
  <c r="CQ63" i="31"/>
  <c r="DM84" i="31"/>
  <c r="D57" i="30"/>
  <c r="D62" i="30"/>
  <c r="C41" i="33"/>
  <c r="D41" i="33" s="1"/>
  <c r="AE33" i="30"/>
  <c r="X212" i="30"/>
  <c r="Y141" i="33"/>
  <c r="AP101" i="32"/>
  <c r="BZ103" i="32" s="1"/>
  <c r="DE82" i="31"/>
  <c r="D60" i="30"/>
  <c r="AD204" i="29"/>
  <c r="AH204" i="29" s="1"/>
  <c r="AA137" i="33"/>
  <c r="J141" i="33"/>
  <c r="AD185" i="32"/>
  <c r="AH185" i="32" s="1"/>
  <c r="AW108" i="32"/>
  <c r="CA110" i="32" s="1"/>
  <c r="BR94" i="32"/>
  <c r="BH94" i="32"/>
  <c r="AY108" i="32"/>
  <c r="CA112" i="32" s="1"/>
  <c r="BP108" i="32"/>
  <c r="AL108" i="32"/>
  <c r="CA99" i="32" s="1"/>
  <c r="AU101" i="32"/>
  <c r="BZ108" i="32" s="1"/>
  <c r="CO117" i="31"/>
  <c r="T6" i="31" s="1"/>
  <c r="DE117" i="31"/>
  <c r="G7" i="31" s="1"/>
  <c r="S58" i="30"/>
  <c r="S57" i="30"/>
  <c r="S60" i="30" s="1"/>
  <c r="S62" i="30"/>
  <c r="S59" i="30"/>
  <c r="S61" i="30"/>
  <c r="S48" i="30" s="1"/>
  <c r="AK94" i="32"/>
  <c r="BY98" i="32" s="1"/>
  <c r="BU94" i="32"/>
  <c r="AO169" i="29"/>
  <c r="AD168" i="29"/>
  <c r="AI168" i="29" s="1"/>
  <c r="AD196" i="29"/>
  <c r="AH196" i="29" s="1"/>
  <c r="AD174" i="32"/>
  <c r="AH174" i="32" s="1"/>
  <c r="AT94" i="32"/>
  <c r="BY107" i="32" s="1"/>
  <c r="AY94" i="32"/>
  <c r="BY112" i="32" s="1"/>
  <c r="BP94" i="32"/>
  <c r="AA34" i="29"/>
  <c r="K38" i="29" s="1"/>
  <c r="AD171" i="29"/>
  <c r="AH171" i="29" s="1"/>
  <c r="AD206" i="32"/>
  <c r="AH206" i="32" s="1"/>
  <c r="AD94" i="32"/>
  <c r="BY91" i="32" s="1"/>
  <c r="AI101" i="32"/>
  <c r="BZ96" i="32" s="1"/>
  <c r="BQ101" i="32"/>
  <c r="AE108" i="32"/>
  <c r="CA92" i="32" s="1"/>
  <c r="BU108" i="32"/>
  <c r="X34" i="29"/>
  <c r="K35" i="29" s="1"/>
  <c r="AD204" i="32"/>
  <c r="AH204" i="32" s="1"/>
  <c r="AD165" i="32"/>
  <c r="AI165" i="32" s="1"/>
  <c r="AD202" i="32"/>
  <c r="AH202" i="32" s="1"/>
  <c r="AD178" i="32"/>
  <c r="AH178" i="32" s="1"/>
  <c r="BU101" i="32"/>
  <c r="AM108" i="32"/>
  <c r="CA100" i="32" s="1"/>
  <c r="BJ94" i="32"/>
  <c r="AV108" i="32"/>
  <c r="CA109" i="32" s="1"/>
  <c r="BV108" i="32"/>
  <c r="AE188" i="29"/>
  <c r="AO108" i="32"/>
  <c r="CA102" i="32" s="1"/>
  <c r="BR101" i="32"/>
  <c r="BS101" i="32"/>
  <c r="AE94" i="32"/>
  <c r="BY92" i="32" s="1"/>
  <c r="AD184" i="29"/>
  <c r="AH184" i="29" s="1"/>
  <c r="AZ94" i="32"/>
  <c r="BY113" i="32" s="1"/>
  <c r="AQ94" i="32"/>
  <c r="BY104" i="32" s="1"/>
  <c r="BT108" i="32"/>
  <c r="AD203" i="32"/>
  <c r="AH203" i="32" s="1"/>
  <c r="AA228" i="32"/>
  <c r="AO170" i="32"/>
  <c r="AO167" i="32"/>
  <c r="AB228" i="32"/>
  <c r="R34" i="32" s="1"/>
  <c r="B39" i="32" s="1"/>
  <c r="L110" i="32"/>
  <c r="AF190" i="32"/>
  <c r="AE190" i="32"/>
  <c r="W190" i="32"/>
  <c r="V190" i="32"/>
  <c r="U190" i="32"/>
  <c r="AJ190" i="32"/>
  <c r="AI190" i="32"/>
  <c r="AH190" i="32"/>
  <c r="AG190" i="32"/>
  <c r="BZ175" i="33"/>
  <c r="BZ140" i="33"/>
  <c r="H137" i="33"/>
  <c r="C125" i="33"/>
  <c r="D125" i="33" s="1"/>
  <c r="DC170" i="33"/>
  <c r="DC135" i="33"/>
  <c r="AX101" i="32"/>
  <c r="BZ111" i="32" s="1"/>
  <c r="AH94" i="32"/>
  <c r="BY95" i="32" s="1"/>
  <c r="BF108" i="32"/>
  <c r="C100" i="33"/>
  <c r="D100" i="33" s="1"/>
  <c r="C108" i="33"/>
  <c r="D108" i="33" s="1"/>
  <c r="C104" i="33"/>
  <c r="D104" i="33" s="1"/>
  <c r="T137" i="33"/>
  <c r="V137" i="33"/>
  <c r="DC168" i="33"/>
  <c r="DC133" i="33"/>
  <c r="DC167" i="33"/>
  <c r="DC132" i="33"/>
  <c r="AO169" i="32"/>
  <c r="C77" i="33" s="1"/>
  <c r="AD186" i="32"/>
  <c r="AJ186" i="32" s="1"/>
  <c r="AE202" i="32"/>
  <c r="W202" i="32"/>
  <c r="AI202" i="32"/>
  <c r="AJ202" i="32"/>
  <c r="AG202" i="32"/>
  <c r="V202" i="32"/>
  <c r="AF202" i="32"/>
  <c r="U202" i="32"/>
  <c r="R132" i="33"/>
  <c r="C131" i="33"/>
  <c r="D131" i="33" s="1"/>
  <c r="J137" i="33"/>
  <c r="P137" i="33"/>
  <c r="U132" i="33"/>
  <c r="Y132" i="33"/>
  <c r="W141" i="33"/>
  <c r="T141" i="33"/>
  <c r="DC173" i="33"/>
  <c r="DC138" i="33"/>
  <c r="J132" i="33"/>
  <c r="C136" i="33"/>
  <c r="D136" i="33" s="1"/>
  <c r="C133" i="33"/>
  <c r="D133" i="33" s="1"/>
  <c r="D110" i="33"/>
  <c r="DC169" i="33"/>
  <c r="DC134" i="33"/>
  <c r="BZ167" i="33"/>
  <c r="BZ132" i="33"/>
  <c r="AJ203" i="32"/>
  <c r="AF203" i="32"/>
  <c r="AI203" i="32"/>
  <c r="W203" i="32"/>
  <c r="V203" i="32"/>
  <c r="AG203" i="32"/>
  <c r="AE203" i="32"/>
  <c r="U203" i="32"/>
  <c r="AN218" i="33"/>
  <c r="AK226" i="33"/>
  <c r="AO226" i="33" s="1"/>
  <c r="AJ172" i="32"/>
  <c r="AI172" i="32"/>
  <c r="AG172" i="32"/>
  <c r="AF172" i="32"/>
  <c r="AE172" i="32"/>
  <c r="W172" i="32"/>
  <c r="U172" i="32"/>
  <c r="AH172" i="32"/>
  <c r="V172" i="32"/>
  <c r="AD193" i="32"/>
  <c r="AH193" i="32" s="1"/>
  <c r="AG175" i="32"/>
  <c r="AF175" i="32"/>
  <c r="V175" i="32"/>
  <c r="U175" i="32"/>
  <c r="AJ175" i="32"/>
  <c r="AI175" i="32"/>
  <c r="AE175" i="32"/>
  <c r="W175" i="32"/>
  <c r="BJ101" i="32"/>
  <c r="AH101" i="32"/>
  <c r="BZ95" i="32" s="1"/>
  <c r="AY101" i="32"/>
  <c r="BZ112" i="32" s="1"/>
  <c r="BP101" i="32"/>
  <c r="AC94" i="32"/>
  <c r="BY90" i="32" s="1"/>
  <c r="AV94" i="32"/>
  <c r="BY109" i="32" s="1"/>
  <c r="AI94" i="32"/>
  <c r="BY96" i="32" s="1"/>
  <c r="BD108" i="32"/>
  <c r="AP108" i="32"/>
  <c r="CA103" i="32" s="1"/>
  <c r="BG108" i="32"/>
  <c r="AC108" i="32"/>
  <c r="CA90" i="32" s="1"/>
  <c r="AT108" i="32"/>
  <c r="CA107" i="32" s="1"/>
  <c r="AE101" i="32"/>
  <c r="BZ92" i="32" s="1"/>
  <c r="AE186" i="32"/>
  <c r="J41" i="30"/>
  <c r="J40" i="30"/>
  <c r="J27" i="30" s="1"/>
  <c r="J31" i="30" s="1"/>
  <c r="J38" i="30"/>
  <c r="J37" i="30"/>
  <c r="J36" i="30"/>
  <c r="F62" i="30"/>
  <c r="F61" i="30"/>
  <c r="F48" i="30" s="1"/>
  <c r="F59" i="30"/>
  <c r="F58" i="30"/>
  <c r="F57" i="30"/>
  <c r="BZ72" i="31"/>
  <c r="BZ107" i="31"/>
  <c r="T57" i="30"/>
  <c r="DZ83" i="31"/>
  <c r="DZ82" i="31"/>
  <c r="DZ81" i="31"/>
  <c r="DZ84" i="31"/>
  <c r="N57" i="30"/>
  <c r="CW117" i="31"/>
  <c r="AB6" i="31" s="1"/>
  <c r="M40" i="30"/>
  <c r="M27" i="30" s="1"/>
  <c r="M31" i="30" s="1"/>
  <c r="BM81" i="31"/>
  <c r="DP84" i="31"/>
  <c r="DP83" i="31"/>
  <c r="DP82" i="31"/>
  <c r="DP81" i="31"/>
  <c r="CF83" i="31"/>
  <c r="CF82" i="31"/>
  <c r="CF81" i="31"/>
  <c r="CF84" i="31"/>
  <c r="DG117" i="31"/>
  <c r="I7" i="31" s="1"/>
  <c r="Z41" i="30"/>
  <c r="Z40" i="30"/>
  <c r="Z27" i="30" s="1"/>
  <c r="Z31" i="30" s="1"/>
  <c r="Z38" i="30"/>
  <c r="Z37" i="30"/>
  <c r="Z36" i="30"/>
  <c r="N41" i="30"/>
  <c r="N40" i="30"/>
  <c r="N27" i="30" s="1"/>
  <c r="N31" i="30" s="1"/>
  <c r="N38" i="30"/>
  <c r="N37" i="30"/>
  <c r="N36" i="30"/>
  <c r="F84" i="31"/>
  <c r="F83" i="31"/>
  <c r="DT82" i="31"/>
  <c r="DT81" i="31"/>
  <c r="DT84" i="31"/>
  <c r="DT83" i="31"/>
  <c r="DV84" i="31"/>
  <c r="DV83" i="31"/>
  <c r="DV82" i="31"/>
  <c r="DV81" i="31"/>
  <c r="CL84" i="31"/>
  <c r="CL83" i="31"/>
  <c r="CL81" i="31"/>
  <c r="CL82" i="31"/>
  <c r="AY84" i="31"/>
  <c r="AY83" i="31"/>
  <c r="AY82" i="31"/>
  <c r="AY81" i="31"/>
  <c r="G16" i="30"/>
  <c r="R58" i="30"/>
  <c r="R60" i="30" s="1"/>
  <c r="R64" i="30" s="1"/>
  <c r="DL117" i="31"/>
  <c r="N7" i="31" s="1"/>
  <c r="DM81" i="31"/>
  <c r="CC83" i="31"/>
  <c r="F15" i="30"/>
  <c r="F17" i="30"/>
  <c r="F19" i="30"/>
  <c r="F16" i="30"/>
  <c r="E19" i="30"/>
  <c r="EA117" i="31"/>
  <c r="AC7" i="31" s="1"/>
  <c r="W15" i="30"/>
  <c r="Y17" i="30"/>
  <c r="O19" i="30"/>
  <c r="Z19" i="30"/>
  <c r="AS94" i="32"/>
  <c r="BY106" i="32" s="1"/>
  <c r="AB108" i="32"/>
  <c r="CA89" i="32" s="1"/>
  <c r="P40" i="30"/>
  <c r="P27" i="30" s="1"/>
  <c r="P31" i="30" s="1"/>
  <c r="P37" i="30"/>
  <c r="P41" i="30"/>
  <c r="P38" i="30"/>
  <c r="P36" i="30"/>
  <c r="W41" i="30"/>
  <c r="W40" i="30"/>
  <c r="W27" i="30" s="1"/>
  <c r="W31" i="30" s="1"/>
  <c r="W38" i="30"/>
  <c r="W37" i="30"/>
  <c r="W36" i="30"/>
  <c r="DR83" i="31"/>
  <c r="DR82" i="31"/>
  <c r="DR81" i="31"/>
  <c r="DR84" i="31"/>
  <c r="CB117" i="31"/>
  <c r="G6" i="31" s="1"/>
  <c r="L58" i="30"/>
  <c r="L41" i="30"/>
  <c r="L40" i="30"/>
  <c r="L27" i="30" s="1"/>
  <c r="L31" i="30" s="1"/>
  <c r="L38" i="30"/>
  <c r="L37" i="30"/>
  <c r="L36" i="30"/>
  <c r="DU117" i="31"/>
  <c r="W7" i="31" s="1"/>
  <c r="AW84" i="31"/>
  <c r="AW83" i="31"/>
  <c r="AW82" i="31"/>
  <c r="AW81" i="31"/>
  <c r="DN84" i="31"/>
  <c r="DN83" i="31"/>
  <c r="DN82" i="31"/>
  <c r="DN81" i="31"/>
  <c r="CI117" i="31"/>
  <c r="N6" i="31" s="1"/>
  <c r="S141" i="33"/>
  <c r="M141" i="33"/>
  <c r="M132" i="33"/>
  <c r="Q137" i="33"/>
  <c r="C103" i="33"/>
  <c r="D103" i="33" s="1"/>
  <c r="C99" i="33"/>
  <c r="D99" i="33" s="1"/>
  <c r="C107" i="33"/>
  <c r="D107" i="33" s="1"/>
  <c r="AE132" i="33"/>
  <c r="O137" i="33"/>
  <c r="AB137" i="33"/>
  <c r="L141" i="33"/>
  <c r="I132" i="33"/>
  <c r="BZ170" i="33"/>
  <c r="BZ135" i="33"/>
  <c r="AD137" i="33"/>
  <c r="N137" i="33"/>
  <c r="DC174" i="33"/>
  <c r="DC139" i="33"/>
  <c r="BZ174" i="33"/>
  <c r="BZ139" i="33"/>
  <c r="AG173" i="32"/>
  <c r="AF173" i="32"/>
  <c r="V173" i="32"/>
  <c r="U173" i="32"/>
  <c r="AJ173" i="32"/>
  <c r="W173" i="32"/>
  <c r="AI173" i="32"/>
  <c r="AH173" i="32"/>
  <c r="AE173" i="32"/>
  <c r="AF171" i="32"/>
  <c r="AE171" i="32"/>
  <c r="W171" i="32"/>
  <c r="U171" i="32"/>
  <c r="AJ171" i="32"/>
  <c r="AI171" i="32"/>
  <c r="V171" i="32"/>
  <c r="AH171" i="32"/>
  <c r="AG171" i="32"/>
  <c r="BC101" i="32"/>
  <c r="AO101" i="32"/>
  <c r="BZ102" i="32" s="1"/>
  <c r="BF101" i="32"/>
  <c r="AB101" i="32"/>
  <c r="BZ89" i="32" s="1"/>
  <c r="AS101" i="32"/>
  <c r="BZ106" i="32" s="1"/>
  <c r="M113" i="32"/>
  <c r="J113" i="32" s="1"/>
  <c r="BA94" i="32"/>
  <c r="BT94" i="32"/>
  <c r="AP94" i="32"/>
  <c r="BY103" i="32" s="1"/>
  <c r="BG94" i="32"/>
  <c r="AU108" i="32"/>
  <c r="CA108" i="32" s="1"/>
  <c r="AJ108" i="32"/>
  <c r="CA97" i="32" s="1"/>
  <c r="BA108" i="32"/>
  <c r="BR108" i="32"/>
  <c r="AN108" i="32"/>
  <c r="CA101" i="32" s="1"/>
  <c r="AE165" i="32"/>
  <c r="O41" i="30"/>
  <c r="O40" i="30"/>
  <c r="O27" i="30" s="1"/>
  <c r="O31" i="30" s="1"/>
  <c r="O38" i="30"/>
  <c r="O37" i="30"/>
  <c r="O36" i="30"/>
  <c r="DR117" i="31"/>
  <c r="T7" i="31" s="1"/>
  <c r="CB82" i="31"/>
  <c r="CB81" i="31"/>
  <c r="CB84" i="31"/>
  <c r="CB83" i="31"/>
  <c r="DY83" i="31"/>
  <c r="DY82" i="31"/>
  <c r="DY81" i="31"/>
  <c r="DY84" i="31"/>
  <c r="BB84" i="31"/>
  <c r="BB83" i="31"/>
  <c r="X15" i="30"/>
  <c r="X19" i="30"/>
  <c r="X17" i="30"/>
  <c r="X16" i="30"/>
  <c r="M36" i="30"/>
  <c r="B98" i="31"/>
  <c r="T61" i="30"/>
  <c r="T48" i="30" s="1"/>
  <c r="CU84" i="31"/>
  <c r="CU83" i="31"/>
  <c r="CU82" i="31"/>
  <c r="CU81" i="31"/>
  <c r="BH83" i="31"/>
  <c r="BH82" i="31"/>
  <c r="BH81" i="31"/>
  <c r="BH84" i="31"/>
  <c r="T41" i="30"/>
  <c r="T40" i="30"/>
  <c r="T27" i="30" s="1"/>
  <c r="T31" i="30" s="1"/>
  <c r="T38" i="30"/>
  <c r="T37" i="30"/>
  <c r="T36" i="30"/>
  <c r="AX117" i="31"/>
  <c r="I5" i="31" s="1"/>
  <c r="DF117" i="31"/>
  <c r="H7" i="31" s="1"/>
  <c r="Z61" i="30"/>
  <c r="Z48" i="30" s="1"/>
  <c r="DU84" i="31"/>
  <c r="DE84" i="31"/>
  <c r="CK82" i="31"/>
  <c r="BN82" i="31"/>
  <c r="AX82" i="31"/>
  <c r="DS82" i="31"/>
  <c r="DS81" i="31"/>
  <c r="DS84" i="31"/>
  <c r="DS83" i="31"/>
  <c r="AV82" i="31"/>
  <c r="AV81" i="31"/>
  <c r="AV84" i="31"/>
  <c r="AV83" i="31"/>
  <c r="L17" i="30"/>
  <c r="L16" i="30"/>
  <c r="L15" i="30"/>
  <c r="L19" i="30"/>
  <c r="U17" i="30"/>
  <c r="C130" i="33"/>
  <c r="D130" i="33" s="1"/>
  <c r="AD183" i="32"/>
  <c r="AH183" i="32" s="1"/>
  <c r="AF182" i="32"/>
  <c r="AE182" i="32"/>
  <c r="W182" i="32"/>
  <c r="V182" i="32"/>
  <c r="U182" i="32"/>
  <c r="AJ182" i="32"/>
  <c r="AI182" i="32"/>
  <c r="AH182" i="32"/>
  <c r="AG182" i="32"/>
  <c r="AG187" i="32"/>
  <c r="AF187" i="32"/>
  <c r="AE187" i="32"/>
  <c r="W187" i="32"/>
  <c r="V187" i="32"/>
  <c r="U187" i="32"/>
  <c r="AJ187" i="32"/>
  <c r="CW83" i="31"/>
  <c r="CW82" i="31"/>
  <c r="CW81" i="31"/>
  <c r="CW84" i="31"/>
  <c r="DH117" i="31"/>
  <c r="J7" i="31" s="1"/>
  <c r="DG84" i="31"/>
  <c r="DG83" i="31"/>
  <c r="DG82" i="31"/>
  <c r="DG81" i="31"/>
  <c r="V41" i="30"/>
  <c r="V40" i="30"/>
  <c r="V27" i="30" s="1"/>
  <c r="V31" i="30" s="1"/>
  <c r="V38" i="30"/>
  <c r="V37" i="30"/>
  <c r="V36" i="30"/>
  <c r="DL82" i="31"/>
  <c r="DL81" i="31"/>
  <c r="DL84" i="31"/>
  <c r="DL83" i="31"/>
  <c r="BD82" i="31"/>
  <c r="BD81" i="31"/>
  <c r="BD84" i="31"/>
  <c r="BD83" i="31"/>
  <c r="C134" i="33"/>
  <c r="D134" i="33" s="1"/>
  <c r="D111" i="33"/>
  <c r="O132" i="33"/>
  <c r="BJ108" i="32"/>
  <c r="X61" i="30"/>
  <c r="X48" i="30" s="1"/>
  <c r="X57" i="30"/>
  <c r="X59" i="30"/>
  <c r="X62" i="30"/>
  <c r="X58" i="30"/>
  <c r="CH84" i="31"/>
  <c r="DH84" i="31"/>
  <c r="DH83" i="31"/>
  <c r="DH82" i="31"/>
  <c r="DH81" i="31"/>
  <c r="CD84" i="31"/>
  <c r="CD83" i="31"/>
  <c r="CD82" i="31"/>
  <c r="CD81" i="31"/>
  <c r="I19" i="30"/>
  <c r="I17" i="30"/>
  <c r="I16" i="30"/>
  <c r="I15" i="30"/>
  <c r="DE83" i="31"/>
  <c r="DS117" i="31"/>
  <c r="U7" i="31" s="1"/>
  <c r="T17" i="30"/>
  <c r="T19" i="30"/>
  <c r="T16" i="30"/>
  <c r="T15" i="30"/>
  <c r="G19" i="30"/>
  <c r="AC141" i="33"/>
  <c r="P132" i="33"/>
  <c r="X132" i="33"/>
  <c r="M137" i="33"/>
  <c r="Q132" i="33"/>
  <c r="C126" i="33"/>
  <c r="D126" i="33" s="1"/>
  <c r="AE141" i="33"/>
  <c r="AB132" i="33"/>
  <c r="BZ176" i="33"/>
  <c r="BZ141" i="33"/>
  <c r="AD132" i="33"/>
  <c r="BZ169" i="33"/>
  <c r="BZ134" i="33"/>
  <c r="AE206" i="32"/>
  <c r="AD194" i="32"/>
  <c r="AH194" i="32" s="1"/>
  <c r="DC176" i="33"/>
  <c r="DC141" i="33"/>
  <c r="AD191" i="32"/>
  <c r="AH191" i="32" s="1"/>
  <c r="AE191" i="32"/>
  <c r="K114" i="32"/>
  <c r="AD101" i="32"/>
  <c r="BZ91" i="32" s="1"/>
  <c r="AW101" i="32"/>
  <c r="BZ110" i="32" s="1"/>
  <c r="AJ101" i="32"/>
  <c r="BZ97" i="32" s="1"/>
  <c r="BA101" i="32"/>
  <c r="M110" i="32"/>
  <c r="BI94" i="32"/>
  <c r="AG94" i="32"/>
  <c r="BY94" i="32" s="1"/>
  <c r="AX94" i="32"/>
  <c r="BY111" i="32" s="1"/>
  <c r="BC108" i="32"/>
  <c r="AR108" i="32"/>
  <c r="CA105" i="32" s="1"/>
  <c r="BI108" i="32"/>
  <c r="AF169" i="32"/>
  <c r="V169" i="32"/>
  <c r="U169" i="32"/>
  <c r="AE169" i="32"/>
  <c r="W169" i="32"/>
  <c r="AG169" i="32"/>
  <c r="AI169" i="32"/>
  <c r="BZ172" i="33"/>
  <c r="BZ137" i="33"/>
  <c r="Y41" i="30"/>
  <c r="Y40" i="30"/>
  <c r="Y27" i="30" s="1"/>
  <c r="Y31" i="30" s="1"/>
  <c r="Y38" i="30"/>
  <c r="Y37" i="30"/>
  <c r="Y36" i="30"/>
  <c r="DC113" i="31"/>
  <c r="DC78" i="31"/>
  <c r="G41" i="30"/>
  <c r="G40" i="30"/>
  <c r="G27" i="30" s="1"/>
  <c r="G31" i="30" s="1"/>
  <c r="G38" i="30"/>
  <c r="G37" i="30"/>
  <c r="G36" i="30"/>
  <c r="Q62" i="30"/>
  <c r="Q61" i="30"/>
  <c r="Q48" i="30" s="1"/>
  <c r="Q59" i="30"/>
  <c r="Q58" i="30"/>
  <c r="Q57" i="30"/>
  <c r="DQ117" i="31"/>
  <c r="S7" i="31" s="1"/>
  <c r="CG117" i="31"/>
  <c r="L6" i="31" s="1"/>
  <c r="P15" i="30"/>
  <c r="P19" i="30"/>
  <c r="P17" i="30"/>
  <c r="P16" i="30"/>
  <c r="CV83" i="31"/>
  <c r="CV82" i="31"/>
  <c r="CV81" i="31"/>
  <c r="CV84" i="31"/>
  <c r="BI83" i="31"/>
  <c r="BI82" i="31"/>
  <c r="BI81" i="31"/>
  <c r="BI84" i="31"/>
  <c r="L61" i="30"/>
  <c r="L48" i="30" s="1"/>
  <c r="EB117" i="31"/>
  <c r="AD7" i="31" s="1"/>
  <c r="DW117" i="31"/>
  <c r="Y7" i="31" s="1"/>
  <c r="E41" i="30"/>
  <c r="E40" i="30"/>
  <c r="E27" i="30" s="1"/>
  <c r="E31" i="30" s="1"/>
  <c r="E38" i="30"/>
  <c r="E37" i="30"/>
  <c r="E36" i="30"/>
  <c r="DF84" i="31"/>
  <c r="DF83" i="31"/>
  <c r="DF82" i="31"/>
  <c r="DF81" i="31"/>
  <c r="BO84" i="31"/>
  <c r="BO83" i="31"/>
  <c r="BO82" i="31"/>
  <c r="BO81" i="31"/>
  <c r="R61" i="30"/>
  <c r="R48" i="30" s="1"/>
  <c r="DM117" i="31"/>
  <c r="O7" i="31" s="1"/>
  <c r="DU81" i="31"/>
  <c r="DE81" i="31"/>
  <c r="CK83" i="31"/>
  <c r="BN83" i="31"/>
  <c r="AX83" i="31"/>
  <c r="K41" i="30"/>
  <c r="K40" i="30"/>
  <c r="K27" i="30" s="1"/>
  <c r="K31" i="30" s="1"/>
  <c r="K38" i="30"/>
  <c r="K37" i="30"/>
  <c r="K36" i="30"/>
  <c r="DK117" i="31"/>
  <c r="M7" i="31" s="1"/>
  <c r="D17" i="30"/>
  <c r="D16" i="30"/>
  <c r="D15" i="30"/>
  <c r="D19" i="30"/>
  <c r="M17" i="30"/>
  <c r="Z62" i="30"/>
  <c r="H141" i="33"/>
  <c r="C129" i="33"/>
  <c r="D129" i="33" s="1"/>
  <c r="M111" i="32"/>
  <c r="D41" i="30"/>
  <c r="D40" i="30"/>
  <c r="D27" i="30" s="1"/>
  <c r="D31" i="30" s="1"/>
  <c r="D38" i="30"/>
  <c r="D37" i="30"/>
  <c r="D36" i="30"/>
  <c r="AA132" i="33"/>
  <c r="C135" i="33"/>
  <c r="D135" i="33" s="1"/>
  <c r="D112" i="33"/>
  <c r="AS108" i="32"/>
  <c r="CA106" i="32" s="1"/>
  <c r="CC117" i="31"/>
  <c r="H6" i="31" s="1"/>
  <c r="DY117" i="31"/>
  <c r="AA7" i="31" s="1"/>
  <c r="BQ83" i="31"/>
  <c r="BQ82" i="31"/>
  <c r="BQ81" i="31"/>
  <c r="BQ84" i="31"/>
  <c r="K132" i="33"/>
  <c r="AC132" i="33"/>
  <c r="X141" i="33"/>
  <c r="Q141" i="33"/>
  <c r="H132" i="33"/>
  <c r="C102" i="33"/>
  <c r="D102" i="33" s="1"/>
  <c r="C98" i="33"/>
  <c r="D98" i="33" s="1"/>
  <c r="C106" i="33"/>
  <c r="D106" i="33" s="1"/>
  <c r="AE137" i="33"/>
  <c r="AB141" i="33"/>
  <c r="V132" i="33"/>
  <c r="DC175" i="33"/>
  <c r="DC140" i="33"/>
  <c r="BZ173" i="33"/>
  <c r="BZ138" i="33"/>
  <c r="X248" i="32"/>
  <c r="J141" i="32"/>
  <c r="C219" i="33" s="1"/>
  <c r="L111" i="32"/>
  <c r="AG207" i="32"/>
  <c r="AF207" i="32"/>
  <c r="AJ207" i="32"/>
  <c r="W207" i="32"/>
  <c r="AI207" i="32"/>
  <c r="V207" i="32"/>
  <c r="AH207" i="32"/>
  <c r="U207" i="32"/>
  <c r="AE207" i="32"/>
  <c r="AG195" i="32"/>
  <c r="AF195" i="32"/>
  <c r="AE195" i="32"/>
  <c r="W195" i="32"/>
  <c r="V195" i="32"/>
  <c r="U195" i="32"/>
  <c r="AJ195" i="32"/>
  <c r="AI195" i="32"/>
  <c r="AH195" i="32"/>
  <c r="AL101" i="32"/>
  <c r="BZ99" i="32" s="1"/>
  <c r="BE101" i="32"/>
  <c r="AR101" i="32"/>
  <c r="BZ105" i="32" s="1"/>
  <c r="BI101" i="32"/>
  <c r="BQ94" i="32"/>
  <c r="AO94" i="32"/>
  <c r="BY102" i="32" s="1"/>
  <c r="BF94" i="32"/>
  <c r="AB94" i="32"/>
  <c r="BY89" i="32" s="1"/>
  <c r="AI108" i="32"/>
  <c r="CA96" i="32" s="1"/>
  <c r="AZ108" i="32"/>
  <c r="CA113" i="32" s="1"/>
  <c r="BQ108" i="32"/>
  <c r="AF27" i="32"/>
  <c r="AG27" i="32" s="1"/>
  <c r="AF28" i="32"/>
  <c r="AG28" i="32" s="1"/>
  <c r="W62" i="30"/>
  <c r="W61" i="30"/>
  <c r="W48" i="30" s="1"/>
  <c r="W59" i="30"/>
  <c r="W58" i="30"/>
  <c r="W57" i="30"/>
  <c r="Q41" i="30"/>
  <c r="Q40" i="30"/>
  <c r="Q27" i="30" s="1"/>
  <c r="Q31" i="30" s="1"/>
  <c r="Q38" i="30"/>
  <c r="Q37" i="30"/>
  <c r="Q36" i="30"/>
  <c r="DC107" i="31"/>
  <c r="DC72" i="31"/>
  <c r="E62" i="30"/>
  <c r="E61" i="30"/>
  <c r="E48" i="30" s="1"/>
  <c r="E59" i="30"/>
  <c r="E58" i="30"/>
  <c r="E57" i="30"/>
  <c r="I62" i="30"/>
  <c r="I61" i="30"/>
  <c r="I48" i="30" s="1"/>
  <c r="I59" i="30"/>
  <c r="I58" i="30"/>
  <c r="I57" i="30"/>
  <c r="CJ84" i="31"/>
  <c r="CJ83" i="31"/>
  <c r="CX82" i="31"/>
  <c r="CX81" i="31"/>
  <c r="CX84" i="31"/>
  <c r="CX83" i="31"/>
  <c r="BK82" i="31"/>
  <c r="BK81" i="31"/>
  <c r="BK84" i="31"/>
  <c r="BK83" i="31"/>
  <c r="N61" i="30"/>
  <c r="N48" i="30" s="1"/>
  <c r="DQ83" i="31"/>
  <c r="DQ82" i="31"/>
  <c r="DQ81" i="31"/>
  <c r="DQ84" i="31"/>
  <c r="CG83" i="31"/>
  <c r="CG82" i="31"/>
  <c r="CG81" i="31"/>
  <c r="CG84" i="31"/>
  <c r="H19" i="30"/>
  <c r="H15" i="30"/>
  <c r="H17" i="30"/>
  <c r="H16" i="30"/>
  <c r="U15" i="30"/>
  <c r="DX117" i="31"/>
  <c r="Z7" i="31" s="1"/>
  <c r="EB82" i="31"/>
  <c r="EB81" i="31"/>
  <c r="EB85" i="31" s="1"/>
  <c r="EB84" i="31"/>
  <c r="EB83" i="31"/>
  <c r="DW84" i="31"/>
  <c r="DW83" i="31"/>
  <c r="DW82" i="31"/>
  <c r="DW81" i="31"/>
  <c r="CM84" i="31"/>
  <c r="CM83" i="31"/>
  <c r="CM82" i="31"/>
  <c r="CM81" i="31"/>
  <c r="AZ83" i="31"/>
  <c r="AZ82" i="31"/>
  <c r="AZ81" i="31"/>
  <c r="AZ84" i="31"/>
  <c r="H37" i="30"/>
  <c r="H41" i="30"/>
  <c r="H36" i="30"/>
  <c r="H40" i="30"/>
  <c r="H27" i="30" s="1"/>
  <c r="H31" i="30" s="1"/>
  <c r="H38" i="30"/>
  <c r="CT117" i="31"/>
  <c r="Y6" i="31" s="1"/>
  <c r="Z59" i="30"/>
  <c r="G17" i="30"/>
  <c r="DJ83" i="31"/>
  <c r="DJ82" i="31"/>
  <c r="DJ81" i="31"/>
  <c r="DJ84" i="31"/>
  <c r="CR82" i="31"/>
  <c r="CR81" i="31"/>
  <c r="CR84" i="31"/>
  <c r="CR83" i="31"/>
  <c r="DK82" i="31"/>
  <c r="DK81" i="31"/>
  <c r="DK84" i="31"/>
  <c r="DK83" i="31"/>
  <c r="V15" i="30"/>
  <c r="V17" i="30"/>
  <c r="V19" i="30"/>
  <c r="V16" i="30"/>
  <c r="C17" i="30"/>
  <c r="C16" i="30"/>
  <c r="C15" i="30"/>
  <c r="T62" i="30"/>
  <c r="Z15" i="30"/>
  <c r="BE108" i="32"/>
  <c r="BD94" i="32"/>
  <c r="BB108" i="32"/>
  <c r="X38" i="30"/>
  <c r="X41" i="30"/>
  <c r="X37" i="30"/>
  <c r="X36" i="30"/>
  <c r="X40" i="30"/>
  <c r="X27" i="30" s="1"/>
  <c r="X31" i="30" s="1"/>
  <c r="BJ82" i="31"/>
  <c r="BJ81" i="31"/>
  <c r="BJ84" i="31"/>
  <c r="BJ83" i="31"/>
  <c r="BP83" i="31"/>
  <c r="BP82" i="31"/>
  <c r="BP81" i="31"/>
  <c r="BP84" i="31"/>
  <c r="X272" i="32"/>
  <c r="X234" i="32"/>
  <c r="Q19" i="30"/>
  <c r="Q17" i="30"/>
  <c r="Q16" i="30"/>
  <c r="Q15" i="30"/>
  <c r="AD141" i="33"/>
  <c r="AK101" i="32"/>
  <c r="BZ98" i="32" s="1"/>
  <c r="M114" i="32"/>
  <c r="AV117" i="31"/>
  <c r="G5" i="31" s="1"/>
  <c r="S137" i="33"/>
  <c r="Z141" i="33"/>
  <c r="X137" i="33"/>
  <c r="I137" i="33"/>
  <c r="W132" i="33"/>
  <c r="T132" i="33"/>
  <c r="K141" i="33"/>
  <c r="V141" i="33"/>
  <c r="BZ171" i="33"/>
  <c r="BZ136" i="33"/>
  <c r="AH164" i="32"/>
  <c r="AF198" i="32"/>
  <c r="AE198" i="32"/>
  <c r="W198" i="32"/>
  <c r="V198" i="32"/>
  <c r="U198" i="32"/>
  <c r="AJ198" i="32"/>
  <c r="AI198" i="32"/>
  <c r="AG198" i="32"/>
  <c r="AH198" i="32"/>
  <c r="AJ170" i="32"/>
  <c r="AI170" i="32"/>
  <c r="AG170" i="32"/>
  <c r="AF170" i="32"/>
  <c r="AE170" i="32"/>
  <c r="W170" i="32"/>
  <c r="V170" i="32"/>
  <c r="U170" i="32"/>
  <c r="AH170" i="32"/>
  <c r="AI147" i="32"/>
  <c r="W126" i="32" s="1"/>
  <c r="AC228" i="32"/>
  <c r="C73" i="33" s="1"/>
  <c r="AO166" i="32"/>
  <c r="C76" i="33" s="1"/>
  <c r="AF108" i="32"/>
  <c r="CA93" i="32" s="1"/>
  <c r="AT101" i="32"/>
  <c r="BZ107" i="32" s="1"/>
  <c r="AZ101" i="32"/>
  <c r="BZ113" i="32" s="1"/>
  <c r="AF94" i="32"/>
  <c r="BY93" i="32" s="1"/>
  <c r="AW94" i="32"/>
  <c r="BY110" i="32" s="1"/>
  <c r="AJ94" i="32"/>
  <c r="BY97" i="32" s="1"/>
  <c r="BS108" i="32"/>
  <c r="AQ108" i="32"/>
  <c r="CA104" i="32" s="1"/>
  <c r="BH108" i="32"/>
  <c r="AD108" i="32"/>
  <c r="CA91" i="32" s="1"/>
  <c r="AE183" i="32"/>
  <c r="O62" i="30"/>
  <c r="O61" i="30"/>
  <c r="O48" i="30" s="1"/>
  <c r="O59" i="30"/>
  <c r="O58" i="30"/>
  <c r="O57" i="30"/>
  <c r="V62" i="30"/>
  <c r="V61" i="30"/>
  <c r="V48" i="30" s="1"/>
  <c r="V59" i="30"/>
  <c r="V58" i="30"/>
  <c r="V57" i="30"/>
  <c r="I41" i="30"/>
  <c r="I40" i="30"/>
  <c r="I27" i="30" s="1"/>
  <c r="I31" i="30" s="1"/>
  <c r="I38" i="30"/>
  <c r="I37" i="30"/>
  <c r="I36" i="30"/>
  <c r="Y62" i="30"/>
  <c r="Y61" i="30"/>
  <c r="Y48" i="30" s="1"/>
  <c r="Y59" i="30"/>
  <c r="Y58" i="30"/>
  <c r="Y57" i="30"/>
  <c r="U62" i="30"/>
  <c r="U61" i="30"/>
  <c r="U48" i="30" s="1"/>
  <c r="U59" i="30"/>
  <c r="U58" i="30"/>
  <c r="U57" i="30"/>
  <c r="CX117" i="31"/>
  <c r="AC6" i="31" s="1"/>
  <c r="N59" i="30"/>
  <c r="DI117" i="31"/>
  <c r="K7" i="31" s="1"/>
  <c r="R19" i="30"/>
  <c r="R17" i="30"/>
  <c r="R16" i="30"/>
  <c r="R15" i="30"/>
  <c r="M15" i="30"/>
  <c r="M18" i="30" s="1"/>
  <c r="DX84" i="31"/>
  <c r="DX83" i="31"/>
  <c r="DX82" i="31"/>
  <c r="DX81" i="31"/>
  <c r="DX85" i="31" s="1"/>
  <c r="BA83" i="31"/>
  <c r="BA82" i="31"/>
  <c r="BA81" i="31"/>
  <c r="BA84" i="31"/>
  <c r="T59" i="30"/>
  <c r="DO117" i="31"/>
  <c r="Q7" i="31" s="1"/>
  <c r="CE117" i="31"/>
  <c r="J6" i="31" s="1"/>
  <c r="U41" i="30"/>
  <c r="U40" i="30"/>
  <c r="U27" i="30" s="1"/>
  <c r="U31" i="30" s="1"/>
  <c r="U38" i="30"/>
  <c r="U37" i="30"/>
  <c r="U36" i="30"/>
  <c r="CT84" i="31"/>
  <c r="CT83" i="31"/>
  <c r="CT81" i="31"/>
  <c r="CT82" i="31"/>
  <c r="BG84" i="31"/>
  <c r="BG83" i="31"/>
  <c r="BG82" i="31"/>
  <c r="BG81" i="31"/>
  <c r="W16" i="30"/>
  <c r="S17" i="30"/>
  <c r="S16" i="30"/>
  <c r="S15" i="30"/>
  <c r="S19" i="30"/>
  <c r="DM83" i="31"/>
  <c r="CC81" i="31"/>
  <c r="BF81" i="31"/>
  <c r="CY117" i="31"/>
  <c r="AD6" i="31" s="1"/>
  <c r="Y15" i="30"/>
  <c r="Y18" i="30" s="1"/>
  <c r="L62" i="30"/>
  <c r="Z16" i="30"/>
  <c r="DC172" i="33"/>
  <c r="DC137" i="33"/>
  <c r="D272" i="33"/>
  <c r="D288" i="33" s="1"/>
  <c r="C288" i="33"/>
  <c r="EA82" i="31"/>
  <c r="EA81" i="31"/>
  <c r="EA84" i="31"/>
  <c r="EA83" i="31"/>
  <c r="I141" i="33"/>
  <c r="DC171" i="33"/>
  <c r="DC136" i="33"/>
  <c r="BZ168" i="33"/>
  <c r="BZ133" i="33"/>
  <c r="X274" i="32"/>
  <c r="BB101" i="32"/>
  <c r="AQ101" i="32"/>
  <c r="BZ104" i="32" s="1"/>
  <c r="BH101" i="32"/>
  <c r="BC94" i="32"/>
  <c r="AF167" i="32"/>
  <c r="V167" i="32"/>
  <c r="U167" i="32"/>
  <c r="W167" i="32"/>
  <c r="AE167" i="32"/>
  <c r="AG167" i="32"/>
  <c r="BB94" i="32"/>
  <c r="AN94" i="32"/>
  <c r="BY101" i="32" s="1"/>
  <c r="BE94" i="32"/>
  <c r="BV94" i="32"/>
  <c r="AR94" i="32"/>
  <c r="BY105" i="32" s="1"/>
  <c r="AH108" i="32"/>
  <c r="CA95" i="32" s="1"/>
  <c r="P59" i="30"/>
  <c r="P62" i="30"/>
  <c r="P58" i="30"/>
  <c r="P61" i="30"/>
  <c r="P48" i="30" s="1"/>
  <c r="P57" i="30"/>
  <c r="G62" i="30"/>
  <c r="G61" i="30"/>
  <c r="G48" i="30" s="1"/>
  <c r="G59" i="30"/>
  <c r="G58" i="30"/>
  <c r="G57" i="30"/>
  <c r="R41" i="30"/>
  <c r="R40" i="30"/>
  <c r="R27" i="30" s="1"/>
  <c r="R31" i="30" s="1"/>
  <c r="R38" i="30"/>
  <c r="R37" i="30"/>
  <c r="R36" i="30"/>
  <c r="M62" i="30"/>
  <c r="M61" i="30"/>
  <c r="M48" i="30" s="1"/>
  <c r="M59" i="30"/>
  <c r="M58" i="30"/>
  <c r="M57" i="30"/>
  <c r="CP117" i="31"/>
  <c r="U6" i="31" s="1"/>
  <c r="BC82" i="31"/>
  <c r="BC81" i="31"/>
  <c r="BC84" i="31"/>
  <c r="BC83" i="31"/>
  <c r="N58" i="30"/>
  <c r="DI83" i="31"/>
  <c r="DI82" i="31"/>
  <c r="DI81" i="31"/>
  <c r="DI84" i="31"/>
  <c r="BR82" i="31"/>
  <c r="BR81" i="31"/>
  <c r="BR84" i="31"/>
  <c r="BR83" i="31"/>
  <c r="J19" i="30"/>
  <c r="J17" i="30"/>
  <c r="J16" i="30"/>
  <c r="J15" i="30"/>
  <c r="DP117" i="31"/>
  <c r="R7" i="31" s="1"/>
  <c r="L59" i="30"/>
  <c r="L60" i="30" s="1"/>
  <c r="BE84" i="31"/>
  <c r="BE83" i="31"/>
  <c r="BE82" i="31"/>
  <c r="BE81" i="31"/>
  <c r="DO84" i="31"/>
  <c r="DO83" i="31"/>
  <c r="DO82" i="31"/>
  <c r="DO81" i="31"/>
  <c r="CE84" i="31"/>
  <c r="CE83" i="31"/>
  <c r="CE82" i="31"/>
  <c r="CE81" i="31"/>
  <c r="F41" i="30"/>
  <c r="F40" i="30"/>
  <c r="F27" i="30" s="1"/>
  <c r="F31" i="30" s="1"/>
  <c r="F38" i="30"/>
  <c r="F37" i="30"/>
  <c r="F36" i="30"/>
  <c r="K17" i="30"/>
  <c r="K16" i="30"/>
  <c r="K15" i="30"/>
  <c r="K19" i="30"/>
  <c r="DT117" i="31"/>
  <c r="V7" i="31" s="1"/>
  <c r="DV117" i="31"/>
  <c r="X7" i="31" s="1"/>
  <c r="O16" i="30"/>
  <c r="O18" i="30" s="1"/>
  <c r="O180" i="30" s="1"/>
  <c r="O195" i="30" s="1"/>
  <c r="S75" i="31" s="1"/>
  <c r="Z58" i="30"/>
  <c r="Z60" i="30" s="1"/>
  <c r="BZ114" i="31"/>
  <c r="BZ79" i="31"/>
  <c r="N15" i="30"/>
  <c r="N19" i="30"/>
  <c r="N16" i="30"/>
  <c r="N17" i="30"/>
  <c r="CY82" i="31"/>
  <c r="CY81" i="31"/>
  <c r="CY84" i="31"/>
  <c r="CY83" i="31"/>
  <c r="W19" i="30"/>
  <c r="AK224" i="33"/>
  <c r="AO224" i="33" s="1"/>
  <c r="AN215" i="33"/>
  <c r="AA228" i="29"/>
  <c r="K42" i="29" s="1"/>
  <c r="AO167" i="29"/>
  <c r="AD164" i="29"/>
  <c r="AH186" i="29"/>
  <c r="AD165" i="29"/>
  <c r="AJ165" i="29" s="1"/>
  <c r="AO166" i="29"/>
  <c r="AD170" i="29"/>
  <c r="AD175" i="29"/>
  <c r="AH175" i="29" s="1"/>
  <c r="AJ187" i="29"/>
  <c r="AI187" i="29"/>
  <c r="AF187" i="29"/>
  <c r="W187" i="29"/>
  <c r="V187" i="29"/>
  <c r="AG187" i="29"/>
  <c r="U187" i="29"/>
  <c r="AE187" i="29"/>
  <c r="AD189" i="29"/>
  <c r="AH189" i="29" s="1"/>
  <c r="AF183" i="29"/>
  <c r="AE183" i="29"/>
  <c r="W183" i="29"/>
  <c r="AJ183" i="29"/>
  <c r="AI183" i="29"/>
  <c r="V183" i="29"/>
  <c r="AH183" i="29"/>
  <c r="U183" i="29"/>
  <c r="AG183" i="29"/>
  <c r="AD188" i="29"/>
  <c r="AH188" i="29" s="1"/>
  <c r="AE178" i="29"/>
  <c r="AH176" i="29"/>
  <c r="AG176" i="29"/>
  <c r="AF176" i="29"/>
  <c r="AE176" i="29"/>
  <c r="W176" i="29"/>
  <c r="V176" i="29"/>
  <c r="U176" i="29"/>
  <c r="AJ176" i="29"/>
  <c r="AI176" i="29"/>
  <c r="AE168" i="29"/>
  <c r="Z34" i="29"/>
  <c r="K37" i="29" s="1"/>
  <c r="C93" i="33" s="1"/>
  <c r="AD166" i="29"/>
  <c r="AI166" i="29" s="1"/>
  <c r="AI199" i="29"/>
  <c r="AE199" i="29"/>
  <c r="W199" i="29"/>
  <c r="AJ199" i="29"/>
  <c r="V199" i="29"/>
  <c r="U199" i="29"/>
  <c r="AH199" i="29"/>
  <c r="AG199" i="29"/>
  <c r="AF199" i="29"/>
  <c r="U193" i="29"/>
  <c r="AG193" i="29"/>
  <c r="AF193" i="29"/>
  <c r="V193" i="29"/>
  <c r="AE193" i="29"/>
  <c r="W193" i="29"/>
  <c r="AJ193" i="29"/>
  <c r="AI193" i="29"/>
  <c r="AH193" i="29"/>
  <c r="AH165" i="29"/>
  <c r="AG165" i="29"/>
  <c r="AF165" i="29"/>
  <c r="AE165" i="29"/>
  <c r="W165" i="29"/>
  <c r="V165" i="29"/>
  <c r="U165" i="29"/>
  <c r="AE195" i="29"/>
  <c r="W195" i="29"/>
  <c r="AI195" i="29"/>
  <c r="AG195" i="29"/>
  <c r="V195" i="29"/>
  <c r="U195" i="29"/>
  <c r="AJ195" i="29"/>
  <c r="AF195" i="29"/>
  <c r="AD181" i="29"/>
  <c r="AH181" i="29" s="1"/>
  <c r="Y34" i="29"/>
  <c r="K36" i="29" s="1"/>
  <c r="C92" i="33" s="1"/>
  <c r="AE175" i="29"/>
  <c r="AJ204" i="29"/>
  <c r="AF204" i="29"/>
  <c r="W204" i="29"/>
  <c r="U204" i="29"/>
  <c r="AI204" i="29"/>
  <c r="AG204" i="29"/>
  <c r="AE204" i="29"/>
  <c r="V204" i="29"/>
  <c r="AF192" i="29"/>
  <c r="AJ192" i="29"/>
  <c r="AI192" i="29"/>
  <c r="W192" i="29"/>
  <c r="V192" i="29"/>
  <c r="AH192" i="29"/>
  <c r="U192" i="29"/>
  <c r="AG192" i="29"/>
  <c r="AE192" i="29"/>
  <c r="AB228" i="29"/>
  <c r="AG167" i="29"/>
  <c r="AF167" i="29"/>
  <c r="AE167" i="29"/>
  <c r="W167" i="29"/>
  <c r="V167" i="29"/>
  <c r="U167" i="29"/>
  <c r="AJ167" i="29"/>
  <c r="AB34" i="29"/>
  <c r="K32" i="29" s="1"/>
  <c r="AG205" i="29"/>
  <c r="U205" i="29"/>
  <c r="AE205" i="29"/>
  <c r="AJ205" i="29"/>
  <c r="AH205" i="29"/>
  <c r="AF205" i="29"/>
  <c r="W205" i="29"/>
  <c r="V205" i="29"/>
  <c r="AI205" i="29"/>
  <c r="AE203" i="29"/>
  <c r="W203" i="29"/>
  <c r="AI203" i="29"/>
  <c r="AJ203" i="29"/>
  <c r="AF203" i="29"/>
  <c r="U203" i="29"/>
  <c r="V203" i="29"/>
  <c r="AH203" i="29"/>
  <c r="AG203" i="29"/>
  <c r="W34" i="29"/>
  <c r="K34" i="29" s="1"/>
  <c r="AJ196" i="29"/>
  <c r="AF196" i="29"/>
  <c r="AI196" i="29"/>
  <c r="AE196" i="29"/>
  <c r="U196" i="29"/>
  <c r="W196" i="29"/>
  <c r="V196" i="29"/>
  <c r="AG196" i="29"/>
  <c r="AG171" i="29"/>
  <c r="AF171" i="29"/>
  <c r="AE171" i="29"/>
  <c r="W171" i="29"/>
  <c r="V171" i="29"/>
  <c r="U171" i="29"/>
  <c r="AJ171" i="29"/>
  <c r="AI171" i="29"/>
  <c r="AD195" i="29"/>
  <c r="U184" i="29"/>
  <c r="AJ184" i="29"/>
  <c r="AG184" i="29"/>
  <c r="V184" i="29"/>
  <c r="AF184" i="29"/>
  <c r="AE184" i="29"/>
  <c r="AI184" i="29"/>
  <c r="W184" i="29"/>
  <c r="AC34" i="29"/>
  <c r="K39" i="29" s="1"/>
  <c r="C96" i="33" s="1"/>
  <c r="AO170" i="29"/>
  <c r="AG189" i="29"/>
  <c r="U189" i="29"/>
  <c r="AJ189" i="29"/>
  <c r="AI189" i="29"/>
  <c r="AE189" i="29"/>
  <c r="W189" i="29"/>
  <c r="V189" i="29"/>
  <c r="AF189" i="29"/>
  <c r="AF200" i="29"/>
  <c r="AJ200" i="29"/>
  <c r="AG200" i="29"/>
  <c r="V200" i="29"/>
  <c r="AE200" i="29"/>
  <c r="U200" i="29"/>
  <c r="W200" i="29"/>
  <c r="AI200" i="29"/>
  <c r="AH200" i="29"/>
  <c r="AD179" i="29"/>
  <c r="AH179" i="29" s="1"/>
  <c r="AG169" i="29"/>
  <c r="AF169" i="29"/>
  <c r="AE169" i="29"/>
  <c r="W169" i="29"/>
  <c r="V169" i="29"/>
  <c r="U169" i="29"/>
  <c r="AJ169" i="29"/>
  <c r="AI169" i="29"/>
  <c r="AC228" i="29"/>
  <c r="K40" i="29" s="1"/>
  <c r="B52" i="31" s="1"/>
  <c r="C52" i="31" s="1"/>
  <c r="AT231" i="33" l="1"/>
  <c r="AW231" i="33" s="1"/>
  <c r="AI167" i="32"/>
  <c r="AI167" i="29"/>
  <c r="AI165" i="29"/>
  <c r="AC240" i="32"/>
  <c r="AF240" i="32" s="1"/>
  <c r="AH166" i="32"/>
  <c r="AJ169" i="32"/>
  <c r="AH170" i="29"/>
  <c r="AJ170" i="29"/>
  <c r="AI168" i="32"/>
  <c r="AI228" i="32" s="1"/>
  <c r="C133" i="32" s="1"/>
  <c r="J133" i="32" s="1"/>
  <c r="S31" i="30"/>
  <c r="S32" i="30" s="1"/>
  <c r="S34" i="30" s="1"/>
  <c r="CQ81" i="31"/>
  <c r="CQ82" i="31"/>
  <c r="CQ109" i="31"/>
  <c r="CQ117" i="31" s="1"/>
  <c r="V6" i="31" s="1"/>
  <c r="CS107" i="31"/>
  <c r="CS117" i="31" s="1"/>
  <c r="X6" i="31" s="1"/>
  <c r="X237" i="32"/>
  <c r="AA237" i="32" s="1"/>
  <c r="AB237" i="32" s="1"/>
  <c r="C307" i="33"/>
  <c r="U18" i="30"/>
  <c r="H18" i="30"/>
  <c r="J110" i="32"/>
  <c r="C275" i="33"/>
  <c r="D275" i="33" s="1"/>
  <c r="CP82" i="31"/>
  <c r="C39" i="30"/>
  <c r="C43" i="30" s="1"/>
  <c r="CO83" i="31"/>
  <c r="CC85" i="31"/>
  <c r="CP83" i="31"/>
  <c r="CP84" i="31"/>
  <c r="S39" i="30"/>
  <c r="S43" i="30" s="1"/>
  <c r="CJ117" i="31"/>
  <c r="O6" i="31" s="1"/>
  <c r="M39" i="30"/>
  <c r="M43" i="30" s="1"/>
  <c r="CV117" i="31"/>
  <c r="AA6" i="31" s="1"/>
  <c r="CI84" i="31"/>
  <c r="CN82" i="31"/>
  <c r="CF117" i="31"/>
  <c r="K6" i="31" s="1"/>
  <c r="CN117" i="31"/>
  <c r="S6" i="31" s="1"/>
  <c r="CU117" i="31"/>
  <c r="Z6" i="31" s="1"/>
  <c r="CH117" i="31"/>
  <c r="M6" i="31" s="1"/>
  <c r="CO84" i="31"/>
  <c r="CO81" i="31"/>
  <c r="CN84" i="31"/>
  <c r="CO82" i="31"/>
  <c r="CN81" i="31"/>
  <c r="CI82" i="31"/>
  <c r="CN83" i="31"/>
  <c r="CQ83" i="31"/>
  <c r="CI83" i="31"/>
  <c r="CS81" i="31"/>
  <c r="CH83" i="31"/>
  <c r="CH85" i="31" s="1"/>
  <c r="CI81" i="31"/>
  <c r="CH81" i="31"/>
  <c r="I39" i="30"/>
  <c r="AH187" i="32"/>
  <c r="AH168" i="29"/>
  <c r="AJ168" i="29"/>
  <c r="AJ167" i="32"/>
  <c r="CM117" i="31"/>
  <c r="R6" i="31" s="1"/>
  <c r="AJ164" i="29"/>
  <c r="AI164" i="29"/>
  <c r="BJ31" i="30"/>
  <c r="BL31" i="30"/>
  <c r="C304" i="33" s="1"/>
  <c r="BG31" i="30"/>
  <c r="AP3" i="30" s="1"/>
  <c r="BC117" i="31"/>
  <c r="N5" i="31" s="1"/>
  <c r="BK31" i="30"/>
  <c r="AQ6" i="30" s="1"/>
  <c r="J114" i="32"/>
  <c r="BK117" i="31"/>
  <c r="V5" i="31" s="1"/>
  <c r="BL117" i="31"/>
  <c r="W5" i="31" s="1"/>
  <c r="BB117" i="31"/>
  <c r="M5" i="31" s="1"/>
  <c r="BM117" i="31"/>
  <c r="X5" i="31" s="1"/>
  <c r="J111" i="32"/>
  <c r="BF117" i="31"/>
  <c r="Q5" i="31" s="1"/>
  <c r="BD117" i="31"/>
  <c r="O5" i="31" s="1"/>
  <c r="BS117" i="31"/>
  <c r="AD5" i="31" s="1"/>
  <c r="BB82" i="31"/>
  <c r="BS83" i="31"/>
  <c r="BS84" i="31"/>
  <c r="BS81" i="31"/>
  <c r="BN84" i="31"/>
  <c r="BQ117" i="31"/>
  <c r="AB5" i="31" s="1"/>
  <c r="CJ81" i="31"/>
  <c r="CJ85" i="31" s="1"/>
  <c r="CK85" i="31"/>
  <c r="BB81" i="31"/>
  <c r="BF83" i="31"/>
  <c r="AG29" i="32"/>
  <c r="J37" i="32" s="1"/>
  <c r="C203" i="33" s="1"/>
  <c r="Z18" i="30"/>
  <c r="DW85" i="31"/>
  <c r="E42" i="30"/>
  <c r="G42" i="30"/>
  <c r="G28" i="30" s="1"/>
  <c r="G33" i="30" s="1"/>
  <c r="T6" i="30"/>
  <c r="T10" i="30" s="1"/>
  <c r="T181" i="30"/>
  <c r="T196" i="30" s="1"/>
  <c r="X76" i="31" s="1"/>
  <c r="DR85" i="31"/>
  <c r="P39" i="30"/>
  <c r="CL85" i="31"/>
  <c r="N32" i="30"/>
  <c r="J42" i="30"/>
  <c r="J28" i="30" s="1"/>
  <c r="J33" i="30" s="1"/>
  <c r="B50" i="31"/>
  <c r="C50" i="31" s="1"/>
  <c r="C91" i="33"/>
  <c r="K253" i="33" s="1"/>
  <c r="L253" i="33" s="1"/>
  <c r="S63" i="30"/>
  <c r="S64" i="30" s="1"/>
  <c r="H53" i="30"/>
  <c r="I63" i="30"/>
  <c r="I49" i="30" s="1"/>
  <c r="AH166" i="29"/>
  <c r="AJ166" i="29"/>
  <c r="BL83" i="31"/>
  <c r="L63" i="30"/>
  <c r="L49" i="30" s="1"/>
  <c r="S6" i="30"/>
  <c r="S10" i="30" s="1"/>
  <c r="S181" i="30"/>
  <c r="S196" i="30" s="1"/>
  <c r="W76" i="31" s="1"/>
  <c r="U32" i="30"/>
  <c r="U63" i="30"/>
  <c r="U49" i="30" s="1"/>
  <c r="X42" i="30"/>
  <c r="X28" i="30" s="1"/>
  <c r="X33" i="30" s="1"/>
  <c r="W63" i="30"/>
  <c r="W49" i="30" s="1"/>
  <c r="K32" i="30"/>
  <c r="P18" i="30"/>
  <c r="BD85" i="31"/>
  <c r="T32" i="30"/>
  <c r="AW85" i="31"/>
  <c r="L32" i="30"/>
  <c r="P42" i="30"/>
  <c r="P28" i="30" s="1"/>
  <c r="P33" i="30" s="1"/>
  <c r="G18" i="30"/>
  <c r="Z39" i="30"/>
  <c r="BM82" i="31"/>
  <c r="C94" i="33"/>
  <c r="B40" i="32"/>
  <c r="J40" i="32" s="1"/>
  <c r="C205" i="33" s="1"/>
  <c r="M6" i="30"/>
  <c r="M10" i="30" s="1"/>
  <c r="M181" i="30"/>
  <c r="M196" i="30" s="1"/>
  <c r="Q76" i="31" s="1"/>
  <c r="J53" i="30"/>
  <c r="BF82" i="31"/>
  <c r="DX102" i="31"/>
  <c r="Z11" i="31" s="1"/>
  <c r="P6" i="30"/>
  <c r="P10" i="30" s="1"/>
  <c r="P181" i="30"/>
  <c r="P196" i="30" s="1"/>
  <c r="T76" i="31" s="1"/>
  <c r="U6" i="30"/>
  <c r="U10" i="30" s="1"/>
  <c r="U181" i="30"/>
  <c r="U196" i="30" s="1"/>
  <c r="Y76" i="31" s="1"/>
  <c r="BL84" i="31"/>
  <c r="L64" i="30"/>
  <c r="G63" i="30"/>
  <c r="G49" i="30" s="1"/>
  <c r="J142" i="32"/>
  <c r="C220" i="33" s="1"/>
  <c r="Y22" i="30"/>
  <c r="Y180" i="30"/>
  <c r="Y195" i="30" s="1"/>
  <c r="AC75" i="31" s="1"/>
  <c r="U42" i="30"/>
  <c r="U28" i="30" s="1"/>
  <c r="U33" i="30" s="1"/>
  <c r="I32" i="30"/>
  <c r="U22" i="30"/>
  <c r="U180" i="30"/>
  <c r="U195" i="30" s="1"/>
  <c r="Y75" i="31" s="1"/>
  <c r="BK85" i="31"/>
  <c r="K42" i="30"/>
  <c r="K28" i="30" s="1"/>
  <c r="K33" i="30" s="1"/>
  <c r="Q63" i="30"/>
  <c r="Q49" i="30" s="1"/>
  <c r="Y39" i="30"/>
  <c r="V32" i="30"/>
  <c r="T42" i="30"/>
  <c r="T28" i="30" s="1"/>
  <c r="T33" i="30" s="1"/>
  <c r="X6" i="30"/>
  <c r="X10" i="30" s="1"/>
  <c r="X181" i="30"/>
  <c r="X196" i="30" s="1"/>
  <c r="AB76" i="31" s="1"/>
  <c r="L42" i="30"/>
  <c r="L28" i="30" s="1"/>
  <c r="L33" i="30" s="1"/>
  <c r="BM83" i="31"/>
  <c r="F63" i="30"/>
  <c r="F49" i="30" s="1"/>
  <c r="K53" i="30"/>
  <c r="C11" i="30"/>
  <c r="C13" i="30" s="1"/>
  <c r="CS82" i="31"/>
  <c r="E22" i="30"/>
  <c r="E180" i="30"/>
  <c r="E195" i="30" s="1"/>
  <c r="I75" i="31" s="1"/>
  <c r="N42" i="30"/>
  <c r="N28" i="30" s="1"/>
  <c r="N33" i="30" s="1"/>
  <c r="BL81" i="31"/>
  <c r="M22" i="30"/>
  <c r="M180" i="30"/>
  <c r="M195" i="30" s="1"/>
  <c r="Q75" i="31" s="1"/>
  <c r="I42" i="30"/>
  <c r="Q6" i="30"/>
  <c r="Q10" i="30" s="1"/>
  <c r="Q181" i="30"/>
  <c r="Q196" i="30" s="1"/>
  <c r="U76" i="31" s="1"/>
  <c r="H32" i="30"/>
  <c r="Q32" i="30"/>
  <c r="Z63" i="30"/>
  <c r="Z64" i="30" s="1"/>
  <c r="BO85" i="31"/>
  <c r="E39" i="30"/>
  <c r="G39" i="30"/>
  <c r="I18" i="30"/>
  <c r="V42" i="30"/>
  <c r="V28" i="30" s="1"/>
  <c r="V33" i="30" s="1"/>
  <c r="P32" i="30"/>
  <c r="D63" i="30"/>
  <c r="D49" i="30" s="1"/>
  <c r="C213" i="30"/>
  <c r="C214" i="30" s="1"/>
  <c r="C203" i="30"/>
  <c r="R6" i="30"/>
  <c r="R10" i="30" s="1"/>
  <c r="R181" i="30"/>
  <c r="R196" i="30" s="1"/>
  <c r="V76" i="31" s="1"/>
  <c r="C90" i="33"/>
  <c r="B51" i="31"/>
  <c r="C51" i="31" s="1"/>
  <c r="W6" i="30"/>
  <c r="W10" i="30" s="1"/>
  <c r="W181" i="30"/>
  <c r="W196" i="30" s="1"/>
  <c r="AA76" i="31" s="1"/>
  <c r="T63" i="30"/>
  <c r="T49" i="30" s="1"/>
  <c r="O6" i="30"/>
  <c r="O10" i="30" s="1"/>
  <c r="O181" i="30"/>
  <c r="O196" i="30" s="1"/>
  <c r="S76" i="31" s="1"/>
  <c r="N6" i="30"/>
  <c r="N10" i="30" s="1"/>
  <c r="N181" i="30"/>
  <c r="N196" i="30" s="1"/>
  <c r="R76" i="31" s="1"/>
  <c r="N18" i="30"/>
  <c r="F32" i="30"/>
  <c r="J6" i="30"/>
  <c r="J10" i="30" s="1"/>
  <c r="J181" i="30"/>
  <c r="J196" i="30" s="1"/>
  <c r="N76" i="31" s="1"/>
  <c r="R32" i="30"/>
  <c r="DK85" i="31"/>
  <c r="I60" i="30"/>
  <c r="I64" i="30" s="1"/>
  <c r="Q42" i="30"/>
  <c r="Q28" i="30" s="1"/>
  <c r="Q33" i="30" s="1"/>
  <c r="G6" i="30"/>
  <c r="G10" i="30" s="1"/>
  <c r="G181" i="30"/>
  <c r="G196" i="30" s="1"/>
  <c r="K76" i="31" s="1"/>
  <c r="DH85" i="31"/>
  <c r="L6" i="30"/>
  <c r="L10" i="30" s="1"/>
  <c r="L181" i="30"/>
  <c r="L196" i="30" s="1"/>
  <c r="P76" i="31" s="1"/>
  <c r="O32" i="30"/>
  <c r="Z32" i="30"/>
  <c r="M32" i="30"/>
  <c r="M34" i="30" s="1"/>
  <c r="H63" i="30"/>
  <c r="H49" i="30" s="1"/>
  <c r="Y202" i="30"/>
  <c r="CS84" i="31"/>
  <c r="M63" i="30"/>
  <c r="M49" i="30" s="1"/>
  <c r="C89" i="33"/>
  <c r="B59" i="31"/>
  <c r="F59" i="31" s="1"/>
  <c r="C271" i="33" s="1"/>
  <c r="B53" i="31"/>
  <c r="C53" i="31" s="1"/>
  <c r="F42" i="30"/>
  <c r="F28" i="30" s="1"/>
  <c r="F33" i="30" s="1"/>
  <c r="O63" i="30"/>
  <c r="O49" i="30" s="1"/>
  <c r="V6" i="30"/>
  <c r="V10" i="30" s="1"/>
  <c r="V181" i="30"/>
  <c r="V196" i="30" s="1"/>
  <c r="Z76" i="31" s="1"/>
  <c r="H42" i="30"/>
  <c r="H28" i="30" s="1"/>
  <c r="H33" i="30" s="1"/>
  <c r="H22" i="30"/>
  <c r="H180" i="30"/>
  <c r="H195" i="30" s="1"/>
  <c r="L75" i="31" s="1"/>
  <c r="E63" i="30"/>
  <c r="E49" i="30" s="1"/>
  <c r="D32" i="30"/>
  <c r="Y32" i="30"/>
  <c r="T18" i="30"/>
  <c r="X63" i="30"/>
  <c r="X49" i="30" s="1"/>
  <c r="AX85" i="31"/>
  <c r="O42" i="30"/>
  <c r="O28" i="30" s="1"/>
  <c r="O33" i="30" s="1"/>
  <c r="W32" i="30"/>
  <c r="Z42" i="30"/>
  <c r="Z43" i="30" s="1"/>
  <c r="AH165" i="32"/>
  <c r="AJ165" i="32"/>
  <c r="S53" i="30"/>
  <c r="K63" i="30"/>
  <c r="K64" i="30" s="1"/>
  <c r="J60" i="30"/>
  <c r="CK117" i="31"/>
  <c r="P6" i="31" s="1"/>
  <c r="V63" i="30"/>
  <c r="V49" i="30" s="1"/>
  <c r="F6" i="30"/>
  <c r="F10" i="30" s="1"/>
  <c r="F181" i="30"/>
  <c r="F196" i="30" s="1"/>
  <c r="J76" i="31" s="1"/>
  <c r="AO168" i="29"/>
  <c r="K6" i="30"/>
  <c r="K10" i="30" s="1"/>
  <c r="K181" i="30"/>
  <c r="K196" i="30" s="1"/>
  <c r="O76" i="31" s="1"/>
  <c r="R42" i="30"/>
  <c r="R28" i="30" s="1"/>
  <c r="R33" i="30" s="1"/>
  <c r="AG228" i="32"/>
  <c r="C137" i="32" s="1"/>
  <c r="J137" i="32" s="1"/>
  <c r="K18" i="30"/>
  <c r="K180" i="30" s="1"/>
  <c r="K195" i="30" s="1"/>
  <c r="O75" i="31" s="1"/>
  <c r="CE85" i="31"/>
  <c r="BE85" i="31"/>
  <c r="G60" i="30"/>
  <c r="P63" i="30"/>
  <c r="P49" i="30" s="1"/>
  <c r="BG85" i="31"/>
  <c r="U39" i="30"/>
  <c r="Y63" i="30"/>
  <c r="Y49" i="30" s="1"/>
  <c r="X32" i="30"/>
  <c r="H6" i="30"/>
  <c r="H10" i="30" s="1"/>
  <c r="H181" i="30"/>
  <c r="H196" i="30" s="1"/>
  <c r="L76" i="31" s="1"/>
  <c r="BQ85" i="31"/>
  <c r="D42" i="30"/>
  <c r="D28" i="30" s="1"/>
  <c r="D33" i="30" s="1"/>
  <c r="D6" i="30"/>
  <c r="D10" i="30" s="1"/>
  <c r="D181" i="30"/>
  <c r="D196" i="30" s="1"/>
  <c r="H76" i="31" s="1"/>
  <c r="E32" i="30"/>
  <c r="G32" i="30"/>
  <c r="Y42" i="30"/>
  <c r="Y28" i="30" s="1"/>
  <c r="Y33" i="30" s="1"/>
  <c r="I6" i="30"/>
  <c r="I10" i="30" s="1"/>
  <c r="I181" i="30"/>
  <c r="I196" i="30" s="1"/>
  <c r="M76" i="31" s="1"/>
  <c r="BN85" i="31"/>
  <c r="BB85" i="31"/>
  <c r="W42" i="30"/>
  <c r="W28" i="30" s="1"/>
  <c r="W33" i="30" s="1"/>
  <c r="Z6" i="30"/>
  <c r="Z10" i="30" s="1"/>
  <c r="Z181" i="30"/>
  <c r="Z196" i="30" s="1"/>
  <c r="AD76" i="31" s="1"/>
  <c r="E6" i="30"/>
  <c r="E10" i="30" s="1"/>
  <c r="E181" i="30"/>
  <c r="E196" i="30" s="1"/>
  <c r="I76" i="31" s="1"/>
  <c r="J32" i="30"/>
  <c r="D64" i="30"/>
  <c r="J63" i="30"/>
  <c r="J49" i="30" s="1"/>
  <c r="BH117" i="31"/>
  <c r="S5" i="31" s="1"/>
  <c r="F7" i="31"/>
  <c r="C247" i="33" s="1"/>
  <c r="AE228" i="32"/>
  <c r="C135" i="32" s="1"/>
  <c r="J135" i="32" s="1"/>
  <c r="AF228" i="29"/>
  <c r="W228" i="32"/>
  <c r="C87" i="33" s="1"/>
  <c r="AE228" i="29"/>
  <c r="AH195" i="29"/>
  <c r="W228" i="29"/>
  <c r="M30" i="29" s="1"/>
  <c r="B57" i="31" s="1"/>
  <c r="C57" i="31" s="1"/>
  <c r="U228" i="32"/>
  <c r="W153" i="32" s="1"/>
  <c r="Y153" i="32" s="1"/>
  <c r="Y156" i="32" s="1"/>
  <c r="V228" i="32"/>
  <c r="C86" i="33" s="1"/>
  <c r="AG228" i="29"/>
  <c r="AF228" i="32"/>
  <c r="C136" i="32" s="1"/>
  <c r="J136" i="32" s="1"/>
  <c r="CW85" i="31"/>
  <c r="Z53" i="30"/>
  <c r="BS85" i="31"/>
  <c r="BA85" i="31"/>
  <c r="U53" i="30"/>
  <c r="O22" i="30"/>
  <c r="CR85" i="31"/>
  <c r="CX85" i="31"/>
  <c r="CF85" i="31"/>
  <c r="N60" i="30"/>
  <c r="N64" i="30" s="1"/>
  <c r="F53" i="30"/>
  <c r="C128" i="33"/>
  <c r="D128" i="33" s="1"/>
  <c r="C95" i="33"/>
  <c r="J39" i="32"/>
  <c r="C204" i="33" s="1"/>
  <c r="K22" i="30"/>
  <c r="V18" i="30"/>
  <c r="DS85" i="31"/>
  <c r="G64" i="30"/>
  <c r="O60" i="30"/>
  <c r="BJ85" i="31"/>
  <c r="C18" i="30"/>
  <c r="AZ85" i="31"/>
  <c r="CG85" i="31"/>
  <c r="N55" i="30"/>
  <c r="N53" i="30"/>
  <c r="I53" i="30"/>
  <c r="W60" i="30"/>
  <c r="W64" i="30" s="1"/>
  <c r="L53" i="30"/>
  <c r="DG85" i="31"/>
  <c r="T53" i="30"/>
  <c r="W39" i="30"/>
  <c r="W18" i="30"/>
  <c r="F18" i="30"/>
  <c r="AY85" i="31"/>
  <c r="DV85" i="31"/>
  <c r="C192" i="33"/>
  <c r="C276" i="33" s="1"/>
  <c r="B115" i="31"/>
  <c r="B126" i="31" s="1"/>
  <c r="E53" i="30"/>
  <c r="R55" i="30"/>
  <c r="R53" i="30"/>
  <c r="V53" i="30"/>
  <c r="CV85" i="31"/>
  <c r="DZ85" i="31"/>
  <c r="BR85" i="31"/>
  <c r="F39" i="30"/>
  <c r="J18" i="30"/>
  <c r="BC85" i="31"/>
  <c r="S18" i="30"/>
  <c r="Y60" i="30"/>
  <c r="Q39" i="30"/>
  <c r="K39" i="30"/>
  <c r="DE85" i="31"/>
  <c r="CD85" i="31"/>
  <c r="X60" i="30"/>
  <c r="DL85" i="31"/>
  <c r="L18" i="30"/>
  <c r="BH85" i="31"/>
  <c r="CB85" i="31"/>
  <c r="O39" i="30"/>
  <c r="T60" i="30"/>
  <c r="J39" i="30"/>
  <c r="AV85" i="31"/>
  <c r="DT85" i="31"/>
  <c r="CY85" i="31"/>
  <c r="M53" i="30"/>
  <c r="DO85" i="31"/>
  <c r="DI85" i="31"/>
  <c r="R39" i="30"/>
  <c r="G53" i="30"/>
  <c r="CT85" i="31"/>
  <c r="E60" i="30"/>
  <c r="D18" i="30"/>
  <c r="DU85" i="31"/>
  <c r="DF85" i="31"/>
  <c r="BI85" i="31"/>
  <c r="Q60" i="30"/>
  <c r="Q64" i="30" s="1"/>
  <c r="X53" i="30"/>
  <c r="X18" i="30"/>
  <c r="N39" i="30"/>
  <c r="DP85" i="31"/>
  <c r="C72" i="33"/>
  <c r="C138" i="32"/>
  <c r="J138" i="32" s="1"/>
  <c r="T42" i="32"/>
  <c r="P53" i="30"/>
  <c r="R18" i="30"/>
  <c r="V60" i="30"/>
  <c r="V64" i="30" s="1"/>
  <c r="O53" i="30"/>
  <c r="BP85" i="31"/>
  <c r="AO165" i="32"/>
  <c r="C78" i="33" s="1"/>
  <c r="DJ85" i="31"/>
  <c r="CM85" i="31"/>
  <c r="W53" i="30"/>
  <c r="D39" i="30"/>
  <c r="V39" i="30"/>
  <c r="T39" i="30"/>
  <c r="DN85" i="31"/>
  <c r="AO168" i="32"/>
  <c r="C79" i="33" s="1"/>
  <c r="AH186" i="32"/>
  <c r="Q53" i="30"/>
  <c r="M60" i="30"/>
  <c r="M64" i="30" s="1"/>
  <c r="P60" i="30"/>
  <c r="EA85" i="31"/>
  <c r="U60" i="30"/>
  <c r="U64" i="30" s="1"/>
  <c r="Y53" i="30"/>
  <c r="Q18" i="30"/>
  <c r="X39" i="30"/>
  <c r="AD228" i="32"/>
  <c r="H39" i="30"/>
  <c r="DQ85" i="31"/>
  <c r="C105" i="33"/>
  <c r="D105" i="33" s="1"/>
  <c r="C109" i="33"/>
  <c r="D109" i="33" s="1"/>
  <c r="C101" i="33"/>
  <c r="D101" i="33" s="1"/>
  <c r="C132" i="33"/>
  <c r="D132" i="33" s="1"/>
  <c r="CU85" i="31"/>
  <c r="DY85" i="31"/>
  <c r="L39" i="30"/>
  <c r="DM85" i="31"/>
  <c r="F60" i="30"/>
  <c r="F64" i="30" s="1"/>
  <c r="K33" i="29"/>
  <c r="AD228" i="29"/>
  <c r="K41" i="29" s="1"/>
  <c r="AO165" i="29"/>
  <c r="AH164" i="29"/>
  <c r="U228" i="29"/>
  <c r="M28" i="29" s="1"/>
  <c r="V228" i="29"/>
  <c r="M29" i="29" s="1"/>
  <c r="B56" i="31" s="1"/>
  <c r="C56" i="31" s="1"/>
  <c r="AI228" i="29" l="1"/>
  <c r="C243" i="33"/>
  <c r="D243" i="33" s="1"/>
  <c r="F54" i="30"/>
  <c r="F55" i="30" s="1"/>
  <c r="G54" i="30"/>
  <c r="G55" i="30" s="1"/>
  <c r="Y54" i="30"/>
  <c r="Y55" i="30" s="1"/>
  <c r="J54" i="30"/>
  <c r="J55" i="30" s="1"/>
  <c r="X54" i="30"/>
  <c r="X55" i="30" s="1"/>
  <c r="D54" i="30"/>
  <c r="D55" i="30" s="1"/>
  <c r="L54" i="30"/>
  <c r="L55" i="30" s="1"/>
  <c r="P54" i="30"/>
  <c r="P55" i="30" s="1"/>
  <c r="V54" i="30"/>
  <c r="V55" i="30" s="1"/>
  <c r="T54" i="30"/>
  <c r="T55" i="30" s="1"/>
  <c r="Q54" i="30"/>
  <c r="Q55" i="30" s="1"/>
  <c r="O54" i="30"/>
  <c r="O55" i="30" s="1"/>
  <c r="H54" i="30"/>
  <c r="H55" i="30" s="1"/>
  <c r="W54" i="30"/>
  <c r="W55" i="30" s="1"/>
  <c r="M54" i="30"/>
  <c r="M55" i="30" s="1"/>
  <c r="U54" i="30"/>
  <c r="U55" i="30" s="1"/>
  <c r="I54" i="30"/>
  <c r="I55" i="30" s="1"/>
  <c r="E54" i="30"/>
  <c r="E55" i="30" s="1"/>
  <c r="C71" i="33"/>
  <c r="C74" i="33" s="1"/>
  <c r="K48" i="29"/>
  <c r="B154" i="32" s="1"/>
  <c r="B149" i="32" s="1"/>
  <c r="J149" i="32" s="1"/>
  <c r="C222" i="33" s="1"/>
  <c r="B54" i="31"/>
  <c r="C54" i="31" s="1"/>
  <c r="CI85" i="31"/>
  <c r="V43" i="30"/>
  <c r="F43" i="30"/>
  <c r="H43" i="30"/>
  <c r="CQ85" i="31"/>
  <c r="CY87" i="31"/>
  <c r="CY86" i="31"/>
  <c r="CC87" i="31"/>
  <c r="CC86" i="31"/>
  <c r="CF87" i="31"/>
  <c r="CF86" i="31"/>
  <c r="CW87" i="31"/>
  <c r="CW86" i="31"/>
  <c r="CT87" i="31"/>
  <c r="CT86" i="31"/>
  <c r="CX87" i="31"/>
  <c r="CX86" i="31"/>
  <c r="CE87" i="31"/>
  <c r="CE86" i="31"/>
  <c r="CL86" i="31"/>
  <c r="CL87" i="31"/>
  <c r="CJ87" i="31"/>
  <c r="CJ86" i="31"/>
  <c r="CD87" i="31"/>
  <c r="CD86" i="31"/>
  <c r="CG87" i="31"/>
  <c r="CG86" i="31"/>
  <c r="CR87" i="31"/>
  <c r="CR86" i="31"/>
  <c r="CQ87" i="31"/>
  <c r="CQ86" i="31"/>
  <c r="CU87" i="31"/>
  <c r="CU86" i="31"/>
  <c r="CM87" i="31"/>
  <c r="CM86" i="31"/>
  <c r="CI87" i="31"/>
  <c r="CI86" i="31"/>
  <c r="CB87" i="31"/>
  <c r="CB86" i="31"/>
  <c r="CV87" i="31"/>
  <c r="CV86" i="31"/>
  <c r="CH87" i="31"/>
  <c r="CH86" i="31"/>
  <c r="CK87" i="31"/>
  <c r="CK86" i="31"/>
  <c r="CP85" i="31"/>
  <c r="AQ3" i="30"/>
  <c r="C305" i="33"/>
  <c r="BH86" i="31"/>
  <c r="BH87" i="31"/>
  <c r="BS86" i="31"/>
  <c r="BS87" i="31"/>
  <c r="BN86" i="31"/>
  <c r="BN87" i="31"/>
  <c r="BP86" i="31"/>
  <c r="BP87" i="31"/>
  <c r="AY87" i="31"/>
  <c r="AY86" i="31"/>
  <c r="BQ86" i="31"/>
  <c r="BQ87" i="31"/>
  <c r="BK86" i="31"/>
  <c r="BK87" i="31"/>
  <c r="BE86" i="31"/>
  <c r="BE87" i="31"/>
  <c r="BC86" i="31"/>
  <c r="BC87" i="31"/>
  <c r="BR86" i="31"/>
  <c r="BR87" i="31"/>
  <c r="AZ86" i="31"/>
  <c r="AZ87" i="31"/>
  <c r="AW86" i="31"/>
  <c r="AW87" i="31"/>
  <c r="AX86" i="31"/>
  <c r="AX87" i="31"/>
  <c r="BO87" i="31"/>
  <c r="BO86" i="31"/>
  <c r="BI86" i="31"/>
  <c r="BI87" i="31"/>
  <c r="BJ86" i="31"/>
  <c r="BJ87" i="31"/>
  <c r="BA86" i="31"/>
  <c r="BA87" i="31"/>
  <c r="BB86" i="31"/>
  <c r="BB87" i="31"/>
  <c r="BG87" i="31"/>
  <c r="BG86" i="31"/>
  <c r="BD86" i="31"/>
  <c r="BD87" i="31"/>
  <c r="AV87" i="31"/>
  <c r="AV86" i="31"/>
  <c r="AJ228" i="32"/>
  <c r="C134" i="32" s="1"/>
  <c r="J134" i="32" s="1"/>
  <c r="CN85" i="31"/>
  <c r="I43" i="30"/>
  <c r="CO85" i="31"/>
  <c r="Q43" i="30"/>
  <c r="U43" i="30"/>
  <c r="AC77" i="31"/>
  <c r="CS85" i="31"/>
  <c r="F6" i="31"/>
  <c r="C246" i="33" s="1"/>
  <c r="S77" i="31"/>
  <c r="AQ4" i="30"/>
  <c r="X43" i="30"/>
  <c r="J43" i="30"/>
  <c r="D43" i="30"/>
  <c r="G43" i="30"/>
  <c r="H34" i="30"/>
  <c r="L43" i="30"/>
  <c r="Z28" i="30"/>
  <c r="N43" i="30"/>
  <c r="E43" i="30"/>
  <c r="AJ228" i="29"/>
  <c r="P43" i="30"/>
  <c r="BG117" i="31"/>
  <c r="R5" i="31" s="1"/>
  <c r="W154" i="32"/>
  <c r="Y154" i="32" s="1"/>
  <c r="Z154" i="32" s="1"/>
  <c r="B159" i="32" s="1"/>
  <c r="J159" i="32" s="1"/>
  <c r="C231" i="33" s="1"/>
  <c r="T34" i="30"/>
  <c r="AH228" i="32"/>
  <c r="C132" i="32" s="1"/>
  <c r="J132" i="32" s="1"/>
  <c r="W34" i="30"/>
  <c r="BA117" i="31"/>
  <c r="L5" i="31" s="1"/>
  <c r="BN117" i="31"/>
  <c r="Y5" i="31" s="1"/>
  <c r="BP117" i="31"/>
  <c r="AA5" i="31" s="1"/>
  <c r="D34" i="30"/>
  <c r="R34" i="30"/>
  <c r="BR117" i="31"/>
  <c r="AC5" i="31" s="1"/>
  <c r="BJ117" i="31"/>
  <c r="U5" i="31" s="1"/>
  <c r="AY117" i="31"/>
  <c r="J5" i="31" s="1"/>
  <c r="N34" i="30"/>
  <c r="BO117" i="31"/>
  <c r="Z5" i="31" s="1"/>
  <c r="AZ117" i="31"/>
  <c r="K5" i="31" s="1"/>
  <c r="BE117" i="31"/>
  <c r="P5" i="31" s="1"/>
  <c r="I77" i="31"/>
  <c r="L34" i="30"/>
  <c r="BI117" i="31"/>
  <c r="T5" i="31" s="1"/>
  <c r="BM85" i="31"/>
  <c r="BF85" i="31"/>
  <c r="BL85" i="31"/>
  <c r="W43" i="30"/>
  <c r="H64" i="30"/>
  <c r="X64" i="30"/>
  <c r="Y64" i="30"/>
  <c r="L77" i="31"/>
  <c r="Y77" i="31"/>
  <c r="V34" i="30"/>
  <c r="K34" i="30"/>
  <c r="S49" i="30"/>
  <c r="P64" i="30"/>
  <c r="T64" i="30"/>
  <c r="T43" i="30"/>
  <c r="E64" i="30"/>
  <c r="O43" i="30"/>
  <c r="K43" i="30"/>
  <c r="Q34" i="30"/>
  <c r="R43" i="30"/>
  <c r="O34" i="30"/>
  <c r="J34" i="30"/>
  <c r="F34" i="30"/>
  <c r="G34" i="30"/>
  <c r="X34" i="30"/>
  <c r="U34" i="30"/>
  <c r="P34" i="30"/>
  <c r="O64" i="30"/>
  <c r="T22" i="30"/>
  <c r="T180" i="30"/>
  <c r="T195" i="30" s="1"/>
  <c r="X75" i="31" s="1"/>
  <c r="Z49" i="30"/>
  <c r="I28" i="30"/>
  <c r="I33" i="30" s="1"/>
  <c r="P202" i="30"/>
  <c r="M202" i="30"/>
  <c r="O253" i="33"/>
  <c r="E28" i="30"/>
  <c r="E33" i="30" s="1"/>
  <c r="X22" i="30"/>
  <c r="X180" i="30"/>
  <c r="X195" i="30" s="1"/>
  <c r="AB75" i="31" s="1"/>
  <c r="F57" i="31"/>
  <c r="C269" i="33" s="1"/>
  <c r="O77" i="31"/>
  <c r="F202" i="30"/>
  <c r="K49" i="30"/>
  <c r="G202" i="30"/>
  <c r="J202" i="30"/>
  <c r="O202" i="30"/>
  <c r="R202" i="30"/>
  <c r="Q77" i="31"/>
  <c r="Y43" i="30"/>
  <c r="F50" i="31"/>
  <c r="K43" i="29"/>
  <c r="C88" i="33" s="1"/>
  <c r="B55" i="31"/>
  <c r="C55" i="31" s="1"/>
  <c r="DS102" i="31"/>
  <c r="U11" i="31" s="1"/>
  <c r="H202" i="30"/>
  <c r="S202" i="30"/>
  <c r="Z22" i="30"/>
  <c r="Z180" i="30"/>
  <c r="Z195" i="30" s="1"/>
  <c r="AD75" i="31" s="1"/>
  <c r="Z202" i="30"/>
  <c r="Y34" i="30"/>
  <c r="R22" i="30"/>
  <c r="R180" i="30"/>
  <c r="R195" i="30" s="1"/>
  <c r="V75" i="31" s="1"/>
  <c r="S22" i="30"/>
  <c r="S180" i="30"/>
  <c r="S195" i="30" s="1"/>
  <c r="W75" i="31" s="1"/>
  <c r="V22" i="30"/>
  <c r="V180" i="30"/>
  <c r="V195" i="30" s="1"/>
  <c r="Z75" i="31" s="1"/>
  <c r="W155" i="32"/>
  <c r="Y213" i="30"/>
  <c r="Y214" i="30" s="1"/>
  <c r="Y203" i="30"/>
  <c r="I22" i="30"/>
  <c r="I180" i="30"/>
  <c r="I195" i="30" s="1"/>
  <c r="M75" i="31" s="1"/>
  <c r="F52" i="31"/>
  <c r="C264" i="33" s="1"/>
  <c r="J64" i="30"/>
  <c r="F22" i="30"/>
  <c r="F180" i="30"/>
  <c r="F195" i="30" s="1"/>
  <c r="J75" i="31" s="1"/>
  <c r="F53" i="31"/>
  <c r="C265" i="33" s="1"/>
  <c r="Y11" i="30"/>
  <c r="Y13" i="30" s="1"/>
  <c r="N22" i="30"/>
  <c r="N180" i="30"/>
  <c r="N195" i="30" s="1"/>
  <c r="R75" i="31" s="1"/>
  <c r="X202" i="30"/>
  <c r="T202" i="30"/>
  <c r="T11" i="30"/>
  <c r="T13" i="30" s="1"/>
  <c r="L22" i="30"/>
  <c r="L180" i="30"/>
  <c r="L195" i="30" s="1"/>
  <c r="P75" i="31" s="1"/>
  <c r="W22" i="30"/>
  <c r="W180" i="30"/>
  <c r="W195" i="30" s="1"/>
  <c r="AA75" i="31" s="1"/>
  <c r="C22" i="30"/>
  <c r="C180" i="30"/>
  <c r="C195" i="30" s="1"/>
  <c r="G75" i="31" s="1"/>
  <c r="E202" i="30"/>
  <c r="I202" i="30"/>
  <c r="AD30" i="30"/>
  <c r="AD31" i="30" s="1"/>
  <c r="W202" i="30"/>
  <c r="U202" i="30"/>
  <c r="G22" i="30"/>
  <c r="G180" i="30"/>
  <c r="G195" i="30" s="1"/>
  <c r="K75" i="31" s="1"/>
  <c r="D22" i="30"/>
  <c r="D180" i="30"/>
  <c r="D195" i="30" s="1"/>
  <c r="H75" i="31" s="1"/>
  <c r="Q22" i="30"/>
  <c r="Q180" i="30"/>
  <c r="Q195" i="30" s="1"/>
  <c r="U75" i="31" s="1"/>
  <c r="F56" i="31"/>
  <c r="C268" i="33" s="1"/>
  <c r="J22" i="30"/>
  <c r="J180" i="30"/>
  <c r="J195" i="30" s="1"/>
  <c r="N75" i="31" s="1"/>
  <c r="K202" i="30"/>
  <c r="V202" i="30"/>
  <c r="L202" i="30"/>
  <c r="N202" i="30"/>
  <c r="F51" i="31"/>
  <c r="C263" i="33" s="1"/>
  <c r="Q202" i="30"/>
  <c r="P22" i="30"/>
  <c r="P180" i="30"/>
  <c r="P195" i="30" s="1"/>
  <c r="T75" i="31" s="1"/>
  <c r="C85" i="33"/>
  <c r="AH228" i="29"/>
  <c r="C244" i="33"/>
  <c r="D244" i="33" s="1"/>
  <c r="AC237" i="32"/>
  <c r="AF237" i="32" s="1"/>
  <c r="B178" i="32" s="1"/>
  <c r="C240" i="33" s="1"/>
  <c r="DY102" i="31"/>
  <c r="AA11" i="31" s="1"/>
  <c r="DZ102" i="31"/>
  <c r="AB11" i="31" s="1"/>
  <c r="D247" i="33"/>
  <c r="DQ102" i="31"/>
  <c r="S11" i="31" s="1"/>
  <c r="EB102" i="31"/>
  <c r="AD11" i="31" s="1"/>
  <c r="Z156" i="32"/>
  <c r="B161" i="32" s="1"/>
  <c r="J161" i="32" s="1"/>
  <c r="C233" i="33" s="1"/>
  <c r="CC102" i="31" l="1"/>
  <c r="H10" i="31" s="1"/>
  <c r="F54" i="31"/>
  <c r="C266" i="33" s="1"/>
  <c r="K54" i="30"/>
  <c r="K55" i="30" s="1"/>
  <c r="Z54" i="30"/>
  <c r="Z55" i="30" s="1"/>
  <c r="S54" i="30"/>
  <c r="S55" i="30" s="1"/>
  <c r="J154" i="32"/>
  <c r="C227" i="33" s="1"/>
  <c r="B155" i="32"/>
  <c r="I155" i="32" s="1"/>
  <c r="Z33" i="30"/>
  <c r="Z34" i="30" s="1"/>
  <c r="CN87" i="31"/>
  <c r="CN86" i="31"/>
  <c r="CS87" i="31"/>
  <c r="CS86" i="31"/>
  <c r="CO87" i="31"/>
  <c r="CO86" i="31"/>
  <c r="CP87" i="31"/>
  <c r="CP86" i="31"/>
  <c r="BL86" i="31"/>
  <c r="BL87" i="31"/>
  <c r="BF86" i="31"/>
  <c r="BF87" i="31"/>
  <c r="BM86" i="31"/>
  <c r="BM87" i="31"/>
  <c r="CK102" i="31"/>
  <c r="P10" i="31" s="1"/>
  <c r="P77" i="31"/>
  <c r="K77" i="31"/>
  <c r="J77" i="31"/>
  <c r="T77" i="31"/>
  <c r="N77" i="31"/>
  <c r="Z77" i="31"/>
  <c r="AD77" i="31"/>
  <c r="H77" i="31"/>
  <c r="W77" i="31"/>
  <c r="U77" i="31"/>
  <c r="AA77" i="31"/>
  <c r="R77" i="31"/>
  <c r="M77" i="31"/>
  <c r="AB77" i="31"/>
  <c r="X77" i="31"/>
  <c r="V77" i="31"/>
  <c r="DO102" i="31"/>
  <c r="Q11" i="31" s="1"/>
  <c r="DR102" i="31"/>
  <c r="T11" i="31" s="1"/>
  <c r="D262" i="33"/>
  <c r="DH102" i="31"/>
  <c r="J11" i="31" s="1"/>
  <c r="F5" i="31"/>
  <c r="C245" i="33" s="1"/>
  <c r="D245" i="33" s="1"/>
  <c r="K11" i="30"/>
  <c r="K13" i="30" s="1"/>
  <c r="W11" i="30"/>
  <c r="W13" i="30" s="1"/>
  <c r="CY102" i="31"/>
  <c r="AD10" i="31" s="1"/>
  <c r="F11" i="30"/>
  <c r="F13" i="30" s="1"/>
  <c r="E11" i="30"/>
  <c r="E13" i="30" s="1"/>
  <c r="S11" i="30"/>
  <c r="S13" i="30" s="1"/>
  <c r="DI102" i="31"/>
  <c r="K11" i="31" s="1"/>
  <c r="V11" i="30"/>
  <c r="V13" i="30" s="1"/>
  <c r="J11" i="30"/>
  <c r="J13" i="30" s="1"/>
  <c r="U11" i="30"/>
  <c r="U13" i="30" s="1"/>
  <c r="CU102" i="31"/>
  <c r="Z10" i="31" s="1"/>
  <c r="CM102" i="31"/>
  <c r="R10" i="31" s="1"/>
  <c r="CX102" i="31"/>
  <c r="AC10" i="31" s="1"/>
  <c r="CH102" i="31"/>
  <c r="M10" i="31" s="1"/>
  <c r="CQ102" i="31"/>
  <c r="V10" i="31" s="1"/>
  <c r="CD102" i="31"/>
  <c r="I10" i="31" s="1"/>
  <c r="CI102" i="31"/>
  <c r="N10" i="31" s="1"/>
  <c r="CE102" i="31"/>
  <c r="J10" i="31" s="1"/>
  <c r="BH102" i="31"/>
  <c r="S9" i="31" s="1"/>
  <c r="BD102" i="31"/>
  <c r="O9" i="31" s="1"/>
  <c r="AW102" i="31"/>
  <c r="H9" i="31" s="1"/>
  <c r="BG102" i="31"/>
  <c r="R9" i="31" s="1"/>
  <c r="BQ102" i="31"/>
  <c r="AB9" i="31" s="1"/>
  <c r="BS102" i="31"/>
  <c r="AD9" i="31" s="1"/>
  <c r="AY102" i="31"/>
  <c r="J9" i="31" s="1"/>
  <c r="BI102" i="31"/>
  <c r="T9" i="31" s="1"/>
  <c r="BR102" i="31"/>
  <c r="AC9" i="31" s="1"/>
  <c r="AZ102" i="31"/>
  <c r="K9" i="31" s="1"/>
  <c r="BE102" i="31"/>
  <c r="P9" i="31" s="1"/>
  <c r="BC102" i="31"/>
  <c r="N9" i="31" s="1"/>
  <c r="BA102" i="31"/>
  <c r="L9" i="31" s="1"/>
  <c r="R11" i="30"/>
  <c r="R13" i="30" s="1"/>
  <c r="DF102" i="31"/>
  <c r="H11" i="31" s="1"/>
  <c r="BN102" i="31"/>
  <c r="Y9" i="31" s="1"/>
  <c r="DG102" i="31"/>
  <c r="I11" i="31" s="1"/>
  <c r="CW102" i="31"/>
  <c r="AB10" i="31" s="1"/>
  <c r="BP102" i="31"/>
  <c r="AA9" i="31" s="1"/>
  <c r="AX102" i="31"/>
  <c r="I9" i="31" s="1"/>
  <c r="C262" i="33"/>
  <c r="E213" i="30"/>
  <c r="E214" i="30" s="1"/>
  <c r="E203" i="30"/>
  <c r="S213" i="30"/>
  <c r="S214" i="30" s="1"/>
  <c r="S203" i="30"/>
  <c r="J213" i="30"/>
  <c r="J214" i="30" s="1"/>
  <c r="J203" i="30"/>
  <c r="BK102" i="31"/>
  <c r="V9" i="31" s="1"/>
  <c r="N11" i="30"/>
  <c r="N13" i="30" s="1"/>
  <c r="Z203" i="30"/>
  <c r="Z213" i="30"/>
  <c r="Z214" i="30" s="1"/>
  <c r="G213" i="30"/>
  <c r="G214" i="30" s="1"/>
  <c r="G203" i="30"/>
  <c r="Q213" i="30"/>
  <c r="Q214" i="30" s="1"/>
  <c r="Q203" i="30"/>
  <c r="L213" i="30"/>
  <c r="L214" i="30" s="1"/>
  <c r="L203" i="30"/>
  <c r="W213" i="30"/>
  <c r="W214" i="30" s="1"/>
  <c r="W203" i="30"/>
  <c r="Z11" i="30"/>
  <c r="Z13" i="30" s="1"/>
  <c r="F55" i="31"/>
  <c r="G11" i="30"/>
  <c r="G13" i="30" s="1"/>
  <c r="M213" i="30"/>
  <c r="M214" i="30" s="1"/>
  <c r="M203" i="30"/>
  <c r="Q11" i="30"/>
  <c r="Q13" i="30" s="1"/>
  <c r="L11" i="30"/>
  <c r="L13" i="30" s="1"/>
  <c r="B58" i="31"/>
  <c r="C58" i="31" s="1"/>
  <c r="R213" i="30"/>
  <c r="R214" i="30" s="1"/>
  <c r="R203" i="30"/>
  <c r="M11" i="30"/>
  <c r="M13" i="30" s="1"/>
  <c r="N213" i="30"/>
  <c r="N214" i="30" s="1"/>
  <c r="N203" i="30"/>
  <c r="CL102" i="31"/>
  <c r="Q10" i="31" s="1"/>
  <c r="BO102" i="31"/>
  <c r="Z9" i="31" s="1"/>
  <c r="V213" i="30"/>
  <c r="V214" i="30" s="1"/>
  <c r="V203" i="30"/>
  <c r="DK102" i="31"/>
  <c r="M11" i="31" s="1"/>
  <c r="D202" i="30"/>
  <c r="D11" i="30"/>
  <c r="D13" i="30" s="1"/>
  <c r="T213" i="30"/>
  <c r="T214" i="30" s="1"/>
  <c r="T203" i="30"/>
  <c r="C278" i="33"/>
  <c r="B113" i="31"/>
  <c r="B125" i="31" s="1"/>
  <c r="Y155" i="32"/>
  <c r="Z155" i="32" s="1"/>
  <c r="B160" i="32" s="1"/>
  <c r="J160" i="32" s="1"/>
  <c r="C232" i="33" s="1"/>
  <c r="H213" i="30"/>
  <c r="H214" i="30" s="1"/>
  <c r="H203" i="30"/>
  <c r="P213" i="30"/>
  <c r="P214" i="30" s="1"/>
  <c r="P203" i="30"/>
  <c r="I213" i="30"/>
  <c r="I214" i="30" s="1"/>
  <c r="I203" i="30"/>
  <c r="G77" i="31"/>
  <c r="X213" i="30"/>
  <c r="X214" i="30" s="1"/>
  <c r="X203" i="30"/>
  <c r="H11" i="30"/>
  <c r="H13" i="30" s="1"/>
  <c r="O213" i="30"/>
  <c r="O214" i="30" s="1"/>
  <c r="O203" i="30"/>
  <c r="E34" i="30"/>
  <c r="P11" i="30"/>
  <c r="P13" i="30" s="1"/>
  <c r="K213" i="30"/>
  <c r="K214" i="30" s="1"/>
  <c r="K203" i="30"/>
  <c r="U213" i="30"/>
  <c r="U214" i="30" s="1"/>
  <c r="U203" i="30"/>
  <c r="I11" i="30"/>
  <c r="I13" i="30" s="1"/>
  <c r="X11" i="30"/>
  <c r="X13" i="30" s="1"/>
  <c r="BB102" i="31"/>
  <c r="M9" i="31" s="1"/>
  <c r="DW102" i="31"/>
  <c r="Y11" i="31" s="1"/>
  <c r="O11" i="30"/>
  <c r="O13" i="30" s="1"/>
  <c r="F213" i="30"/>
  <c r="F214" i="30" s="1"/>
  <c r="F203" i="30"/>
  <c r="I34" i="30"/>
  <c r="DV102" i="31"/>
  <c r="X11" i="31" s="1"/>
  <c r="DM102" i="31"/>
  <c r="O11" i="31" s="1"/>
  <c r="D246" i="33"/>
  <c r="BJ102" i="31"/>
  <c r="U9" i="31" s="1"/>
  <c r="DE102" i="31"/>
  <c r="G11" i="31" s="1"/>
  <c r="AV102" i="31"/>
  <c r="G9" i="31" s="1"/>
  <c r="DJ102" i="31"/>
  <c r="L11" i="31" s="1"/>
  <c r="DN102" i="31"/>
  <c r="P11" i="31" s="1"/>
  <c r="CT102" i="31"/>
  <c r="Y10" i="31" s="1"/>
  <c r="DP102" i="31"/>
  <c r="R11" i="31" s="1"/>
  <c r="CR102" i="31"/>
  <c r="W10" i="31" s="1"/>
  <c r="Z153" i="32"/>
  <c r="B158" i="32" s="1"/>
  <c r="J158" i="32" s="1"/>
  <c r="CJ102" i="31"/>
  <c r="O10" i="31" s="1"/>
  <c r="DU102" i="31"/>
  <c r="W11" i="31" s="1"/>
  <c r="CB102" i="31"/>
  <c r="G10" i="31" s="1"/>
  <c r="EA102" i="31"/>
  <c r="AC11" i="31" s="1"/>
  <c r="CV102" i="31"/>
  <c r="AA10" i="31" s="1"/>
  <c r="CF102" i="31"/>
  <c r="K10" i="31" s="1"/>
  <c r="DT102" i="31"/>
  <c r="V11" i="31" s="1"/>
  <c r="CG102" i="31"/>
  <c r="L10" i="31" s="1"/>
  <c r="DL102" i="31"/>
  <c r="N11" i="31" s="1"/>
  <c r="CP102" i="31" l="1"/>
  <c r="U10" i="31" s="1"/>
  <c r="BL102" i="31"/>
  <c r="W9" i="31" s="1"/>
  <c r="CN102" i="31"/>
  <c r="S10" i="31" s="1"/>
  <c r="BM102" i="31"/>
  <c r="X9" i="31" s="1"/>
  <c r="CO102" i="31"/>
  <c r="T10" i="31" s="1"/>
  <c r="T13" i="31" s="1"/>
  <c r="BF102" i="31"/>
  <c r="Q9" i="31" s="1"/>
  <c r="Q13" i="31" s="1"/>
  <c r="R13" i="31"/>
  <c r="S13" i="31"/>
  <c r="CS102" i="31"/>
  <c r="X10" i="31" s="1"/>
  <c r="H13" i="31"/>
  <c r="K13" i="31"/>
  <c r="AD13" i="31"/>
  <c r="AC13" i="31"/>
  <c r="O13" i="31"/>
  <c r="L13" i="31"/>
  <c r="U13" i="31"/>
  <c r="Y13" i="31"/>
  <c r="I13" i="31"/>
  <c r="P13" i="31"/>
  <c r="AA13" i="31"/>
  <c r="M13" i="31"/>
  <c r="N13" i="31"/>
  <c r="Z13" i="31"/>
  <c r="V13" i="31"/>
  <c r="J13" i="31"/>
  <c r="AB13" i="31"/>
  <c r="C267" i="33"/>
  <c r="F58" i="31"/>
  <c r="D213" i="30"/>
  <c r="D214" i="30" s="1"/>
  <c r="D203" i="30"/>
  <c r="AJ5" i="30" s="1"/>
  <c r="X249" i="32" s="1"/>
  <c r="C193" i="33"/>
  <c r="D193" i="33" s="1"/>
  <c r="C277" i="33"/>
  <c r="C293" i="33"/>
  <c r="D278" i="33"/>
  <c r="C291" i="33"/>
  <c r="G13" i="31"/>
  <c r="C230" i="33"/>
  <c r="J170" i="32"/>
  <c r="W13" i="31"/>
  <c r="F11" i="31"/>
  <c r="F10" i="31" l="1"/>
  <c r="C249" i="33" s="1"/>
  <c r="F9" i="31"/>
  <c r="X13" i="31"/>
  <c r="F13" i="31" s="1"/>
  <c r="C270" i="33"/>
  <c r="B108" i="31"/>
  <c r="B123" i="31" s="1"/>
  <c r="V265" i="32"/>
  <c r="V264" i="32"/>
  <c r="D293" i="33"/>
  <c r="D291" i="33"/>
  <c r="D277" i="33"/>
  <c r="C290" i="33"/>
  <c r="C248" i="33"/>
  <c r="B91" i="31"/>
  <c r="D91" i="31" s="1"/>
  <c r="C250" i="33"/>
  <c r="B93" i="31"/>
  <c r="D93" i="31" s="1"/>
  <c r="C236" i="33"/>
  <c r="B92" i="31" l="1"/>
  <c r="D92" i="31" s="1"/>
  <c r="C289" i="33"/>
  <c r="B94" i="31"/>
  <c r="A106" i="32" l="1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C8" i="32" l="1"/>
  <c r="A124" i="32"/>
  <c r="A125" i="32"/>
  <c r="AC9" i="32"/>
  <c r="AC10" i="32"/>
  <c r="A126" i="32"/>
  <c r="AC11" i="32"/>
  <c r="A127" i="32"/>
  <c r="A128" i="32"/>
  <c r="AC12" i="32"/>
  <c r="AC13" i="32"/>
  <c r="A129" i="32"/>
  <c r="A122" i="32"/>
  <c r="D122" i="32" s="1"/>
  <c r="AC6" i="32"/>
  <c r="A130" i="32"/>
  <c r="AC14" i="32"/>
  <c r="A123" i="32"/>
  <c r="AC7" i="32"/>
  <c r="A131" i="32"/>
  <c r="AC15" i="32"/>
  <c r="Q38" i="28"/>
  <c r="R38" i="28"/>
  <c r="V36" i="28"/>
  <c r="Q36" i="28"/>
  <c r="R36" i="28"/>
  <c r="K30" i="28"/>
  <c r="K36" i="28" s="1"/>
  <c r="J36" i="28"/>
  <c r="I30" i="28"/>
  <c r="I36" i="28" s="1"/>
  <c r="G36" i="28"/>
  <c r="B36" i="28"/>
  <c r="B30" i="28"/>
  <c r="N30" i="28"/>
  <c r="N36" i="28" s="1"/>
  <c r="M30" i="28"/>
  <c r="M36" i="28" s="1"/>
  <c r="N31" i="28"/>
  <c r="N37" i="28" s="1"/>
  <c r="M31" i="28"/>
  <c r="M37" i="28" s="1"/>
  <c r="J31" i="28"/>
  <c r="J37" i="28" s="1"/>
  <c r="I31" i="28"/>
  <c r="I37" i="28" s="1"/>
  <c r="J30" i="28"/>
  <c r="L30" i="28"/>
  <c r="L36" i="28" s="1"/>
  <c r="O30" i="28"/>
  <c r="O36" i="28" s="1"/>
  <c r="P30" i="28"/>
  <c r="P36" i="28" s="1"/>
  <c r="Q30" i="28"/>
  <c r="R30" i="28"/>
  <c r="S30" i="28"/>
  <c r="S36" i="28" s="1"/>
  <c r="L29" i="28"/>
  <c r="M29" i="28"/>
  <c r="N29" i="28"/>
  <c r="O29" i="28"/>
  <c r="P29" i="28"/>
  <c r="Q29" i="28"/>
  <c r="R29" i="28"/>
  <c r="S29" i="28"/>
  <c r="K29" i="28"/>
  <c r="L32" i="28"/>
  <c r="L38" i="28" s="1"/>
  <c r="M32" i="28"/>
  <c r="M38" i="28" s="1"/>
  <c r="N32" i="28"/>
  <c r="N38" i="28" s="1"/>
  <c r="O32" i="28"/>
  <c r="O38" i="28" s="1"/>
  <c r="P32" i="28"/>
  <c r="P38" i="28" s="1"/>
  <c r="Q32" i="28"/>
  <c r="R32" i="28"/>
  <c r="S32" i="28"/>
  <c r="S38" i="28" s="1"/>
  <c r="K32" i="28"/>
  <c r="K38" i="28" s="1"/>
  <c r="C30" i="28"/>
  <c r="C36" i="28" s="1"/>
  <c r="D30" i="28"/>
  <c r="D36" i="28" s="1"/>
  <c r="E30" i="28"/>
  <c r="E36" i="28" s="1"/>
  <c r="F30" i="28"/>
  <c r="F36" i="28" s="1"/>
  <c r="G30" i="28"/>
  <c r="H30" i="28"/>
  <c r="H36" i="28" s="1"/>
  <c r="T30" i="28"/>
  <c r="T36" i="28" s="1"/>
  <c r="U30" i="28"/>
  <c r="U36" i="28" s="1"/>
  <c r="V30" i="28"/>
  <c r="W30" i="28"/>
  <c r="W36" i="28" s="1"/>
  <c r="X30" i="28"/>
  <c r="X36" i="28" s="1"/>
  <c r="Y30" i="28"/>
  <c r="Y36" i="28" s="1"/>
  <c r="C29" i="28"/>
  <c r="D29" i="28"/>
  <c r="E29" i="28"/>
  <c r="F29" i="28"/>
  <c r="G29" i="28"/>
  <c r="H29" i="28"/>
  <c r="I29" i="28"/>
  <c r="J29" i="28"/>
  <c r="T29" i="28"/>
  <c r="U29" i="28"/>
  <c r="V29" i="28"/>
  <c r="W29" i="28"/>
  <c r="X29" i="28"/>
  <c r="Y29" i="28"/>
  <c r="B29" i="28"/>
  <c r="J122" i="32" l="1"/>
  <c r="C217" i="33" s="1"/>
  <c r="AI6" i="32"/>
  <c r="AH6" i="32"/>
  <c r="AJ6" i="32"/>
  <c r="AG6" i="32"/>
  <c r="AF6" i="32"/>
  <c r="AG15" i="32"/>
  <c r="AJ15" i="32"/>
  <c r="AF15" i="32"/>
  <c r="AI15" i="32"/>
  <c r="AH15" i="32"/>
  <c r="AJ9" i="32"/>
  <c r="AI9" i="32"/>
  <c r="AH9" i="32"/>
  <c r="AF9" i="32"/>
  <c r="AG9" i="32"/>
  <c r="AF13" i="32"/>
  <c r="AG13" i="32"/>
  <c r="AI13" i="32"/>
  <c r="AJ13" i="32"/>
  <c r="AH13" i="32"/>
  <c r="AJ11" i="32"/>
  <c r="AI11" i="32"/>
  <c r="AG11" i="32"/>
  <c r="AF11" i="32"/>
  <c r="AH11" i="32"/>
  <c r="AI10" i="32"/>
  <c r="AG10" i="32"/>
  <c r="AJ10" i="32"/>
  <c r="AH10" i="32"/>
  <c r="AF10" i="32"/>
  <c r="AH7" i="32"/>
  <c r="AJ7" i="32"/>
  <c r="AG7" i="32"/>
  <c r="AI7" i="32"/>
  <c r="AF7" i="32"/>
  <c r="AI12" i="32"/>
  <c r="AH12" i="32"/>
  <c r="AG12" i="32"/>
  <c r="AF12" i="32"/>
  <c r="AJ12" i="32"/>
  <c r="AH14" i="32"/>
  <c r="AJ14" i="32"/>
  <c r="AG14" i="32"/>
  <c r="AI14" i="32"/>
  <c r="AF14" i="32"/>
  <c r="AI8" i="32"/>
  <c r="AG8" i="32"/>
  <c r="AJ8" i="32"/>
  <c r="AH8" i="32"/>
  <c r="AF8" i="32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B27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AH26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B21" i="28"/>
  <c r="AC20" i="32" l="1"/>
  <c r="AG16" i="32"/>
  <c r="AI16" i="32"/>
  <c r="AC19" i="32"/>
  <c r="AJ16" i="32"/>
  <c r="AH16" i="32"/>
  <c r="AC18" i="32"/>
  <c r="AF16" i="32"/>
  <c r="B26" i="28"/>
  <c r="B25" i="28"/>
  <c r="X26" i="28"/>
  <c r="X25" i="28"/>
  <c r="Y26" i="28"/>
  <c r="Y25" i="28"/>
  <c r="H26" i="28"/>
  <c r="H25" i="28"/>
  <c r="W26" i="28"/>
  <c r="W25" i="28"/>
  <c r="O26" i="28"/>
  <c r="O25" i="28"/>
  <c r="G26" i="28"/>
  <c r="G25" i="28"/>
  <c r="Q26" i="28"/>
  <c r="Q25" i="28"/>
  <c r="F26" i="28"/>
  <c r="F25" i="28"/>
  <c r="I26" i="28"/>
  <c r="I25" i="28"/>
  <c r="N26" i="28"/>
  <c r="N25" i="28"/>
  <c r="U26" i="28"/>
  <c r="U25" i="28"/>
  <c r="M26" i="28"/>
  <c r="M25" i="28"/>
  <c r="E26" i="28"/>
  <c r="E25" i="28"/>
  <c r="R26" i="28"/>
  <c r="R25" i="28"/>
  <c r="P26" i="28"/>
  <c r="P25" i="28"/>
  <c r="V26" i="28"/>
  <c r="V25" i="28"/>
  <c r="T26" i="28"/>
  <c r="T25" i="28"/>
  <c r="L26" i="28"/>
  <c r="L25" i="28"/>
  <c r="D26" i="28"/>
  <c r="D25" i="28"/>
  <c r="J26" i="28"/>
  <c r="J25" i="28"/>
  <c r="S26" i="28"/>
  <c r="S25" i="28"/>
  <c r="K26" i="28"/>
  <c r="K25" i="28"/>
  <c r="C26" i="28"/>
  <c r="C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T29" i="27" l="1"/>
  <c r="U29" i="27"/>
  <c r="L29" i="27"/>
  <c r="M29" i="27"/>
  <c r="X29" i="27"/>
  <c r="C17" i="27"/>
  <c r="C29" i="27" s="1"/>
  <c r="D17" i="27"/>
  <c r="D29" i="27" s="1"/>
  <c r="E17" i="27"/>
  <c r="E29" i="27" s="1"/>
  <c r="F17" i="27"/>
  <c r="F29" i="27" s="1"/>
  <c r="G17" i="27"/>
  <c r="G29" i="27" s="1"/>
  <c r="H17" i="27"/>
  <c r="H29" i="27" s="1"/>
  <c r="I17" i="27"/>
  <c r="I29" i="27" s="1"/>
  <c r="J17" i="27"/>
  <c r="J29" i="27" s="1"/>
  <c r="K17" i="27"/>
  <c r="K29" i="27" s="1"/>
  <c r="L17" i="27"/>
  <c r="M17" i="27"/>
  <c r="N17" i="27"/>
  <c r="N29" i="27" s="1"/>
  <c r="O17" i="27"/>
  <c r="O29" i="27" s="1"/>
  <c r="P17" i="27"/>
  <c r="P29" i="27" s="1"/>
  <c r="Q17" i="27"/>
  <c r="Q29" i="27" s="1"/>
  <c r="R17" i="27"/>
  <c r="R29" i="27" s="1"/>
  <c r="S17" i="27"/>
  <c r="S29" i="27" s="1"/>
  <c r="T17" i="27"/>
  <c r="U17" i="27"/>
  <c r="V17" i="27"/>
  <c r="W17" i="27"/>
  <c r="X17" i="27"/>
  <c r="Y17" i="27"/>
  <c r="Y29" i="27" s="1"/>
  <c r="B17" i="27"/>
  <c r="B29" i="27" s="1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B16" i="27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2" i="18"/>
  <c r="AC81" i="18"/>
  <c r="AC80" i="18"/>
  <c r="AC79" i="18"/>
  <c r="AC78" i="18"/>
  <c r="P16" i="7" l="1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AM52" i="24"/>
  <c r="AK52" i="24"/>
  <c r="AP51" i="26"/>
  <c r="AK51" i="26"/>
  <c r="AY39" i="26"/>
  <c r="AK39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S32" i="24"/>
  <c r="AK32" i="24"/>
  <c r="AQ35" i="26"/>
  <c r="AK35" i="26"/>
  <c r="AS51" i="18"/>
  <c r="AK51" i="18"/>
  <c r="AO43" i="18"/>
  <c r="AK43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CD48" i="24"/>
  <c r="AK48" i="24"/>
  <c r="AT40" i="24"/>
  <c r="AK40" i="24"/>
  <c r="AO43" i="26"/>
  <c r="AK43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2" s="1"/>
  <c r="AH69" i="32" s="1"/>
  <c r="H62" i="7" l="1"/>
  <c r="I62" i="7"/>
  <c r="N62" i="7"/>
  <c r="O62" i="7"/>
  <c r="P62" i="7"/>
  <c r="G62" i="7"/>
  <c r="J55" i="7" l="1"/>
  <c r="K55" i="7" s="1"/>
  <c r="M55" i="7"/>
  <c r="Q55" i="7"/>
  <c r="R55" i="7"/>
  <c r="T55" i="7"/>
  <c r="J56" i="7"/>
  <c r="K56" i="7" s="1"/>
  <c r="M56" i="7"/>
  <c r="Q56" i="7"/>
  <c r="R56" i="7"/>
  <c r="T56" i="7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36" i="7"/>
  <c r="K36" i="7" s="1"/>
  <c r="M36" i="7"/>
  <c r="Q36" i="7"/>
  <c r="R36" i="7"/>
  <c r="T36" i="7"/>
  <c r="J37" i="7"/>
  <c r="K37" i="7" s="1"/>
  <c r="M37" i="7"/>
  <c r="Q37" i="7"/>
  <c r="R37" i="7"/>
  <c r="T37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F69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X47" i="26"/>
  <c r="W47" i="26"/>
  <c r="W71" i="26" s="1"/>
  <c r="V47" i="26"/>
  <c r="V71" i="26" s="1"/>
  <c r="U47" i="26"/>
  <c r="T47" i="26"/>
  <c r="T71" i="26" s="1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L164" i="24"/>
  <c r="K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T4" i="7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B126" i="30" l="1"/>
  <c r="G108" i="33"/>
  <c r="G105" i="33"/>
  <c r="B123" i="30"/>
  <c r="B124" i="30"/>
  <c r="G106" i="33"/>
  <c r="B125" i="30"/>
  <c r="G107" i="33"/>
  <c r="S68" i="24"/>
  <c r="BZ52" i="32"/>
  <c r="BZ74" i="32" s="1"/>
  <c r="M68" i="24"/>
  <c r="BT52" i="32"/>
  <c r="BT74" i="32" s="1"/>
  <c r="N68" i="24"/>
  <c r="BU52" i="32"/>
  <c r="BU74" i="32" s="1"/>
  <c r="O68" i="24"/>
  <c r="BV52" i="32"/>
  <c r="BV74" i="32" s="1"/>
  <c r="N67" i="24"/>
  <c r="BU51" i="32"/>
  <c r="BU73" i="32" s="1"/>
  <c r="O67" i="24"/>
  <c r="BV51" i="32"/>
  <c r="BV73" i="32" s="1"/>
  <c r="P67" i="24"/>
  <c r="BW51" i="32"/>
  <c r="BW73" i="32" s="1"/>
  <c r="Q64" i="24"/>
  <c r="BX48" i="32"/>
  <c r="BX70" i="32" s="1"/>
  <c r="P65" i="24"/>
  <c r="BW49" i="32"/>
  <c r="BW71" i="32" s="1"/>
  <c r="O66" i="24"/>
  <c r="BV50" i="32"/>
  <c r="BV72" i="32" s="1"/>
  <c r="Q65" i="24"/>
  <c r="BX49" i="32"/>
  <c r="BX71" i="32" s="1"/>
  <c r="P66" i="24"/>
  <c r="BW50" i="32"/>
  <c r="BW72" i="32" s="1"/>
  <c r="R65" i="24"/>
  <c r="BY49" i="32"/>
  <c r="BY71" i="32" s="1"/>
  <c r="Q66" i="24"/>
  <c r="BX50" i="32"/>
  <c r="BX72" i="32" s="1"/>
  <c r="N65" i="24"/>
  <c r="BU49" i="32"/>
  <c r="BU71" i="32" s="1"/>
  <c r="M66" i="24"/>
  <c r="BT50" i="32"/>
  <c r="BT72" i="32" s="1"/>
  <c r="G63" i="24"/>
  <c r="BN47" i="32"/>
  <c r="BN69" i="32" s="1"/>
  <c r="O63" i="24"/>
  <c r="BV47" i="32"/>
  <c r="BV69" i="32" s="1"/>
  <c r="W63" i="24"/>
  <c r="CD47" i="32"/>
  <c r="CD69" i="32" s="1"/>
  <c r="J63" i="24"/>
  <c r="BQ47" i="32"/>
  <c r="BQ69" i="32" s="1"/>
  <c r="R63" i="24"/>
  <c r="BY47" i="32"/>
  <c r="BY69" i="32" s="1"/>
  <c r="D63" i="24"/>
  <c r="BK47" i="32"/>
  <c r="BK69" i="32" s="1"/>
  <c r="T63" i="24"/>
  <c r="CA47" i="32"/>
  <c r="CA69" i="32" s="1"/>
  <c r="B63" i="24"/>
  <c r="BI47" i="32"/>
  <c r="BI69" i="32" s="1"/>
  <c r="M49" i="24"/>
  <c r="CE25" i="25"/>
  <c r="AK25" i="25"/>
  <c r="BX25" i="26"/>
  <c r="AK25" i="26"/>
  <c r="BQ24" i="25"/>
  <c r="AK24" i="25"/>
  <c r="CC26" i="25"/>
  <c r="AK26" i="25"/>
  <c r="CE28" i="25"/>
  <c r="AK28" i="25"/>
  <c r="BW26" i="26"/>
  <c r="AK26" i="26"/>
  <c r="CA30" i="26"/>
  <c r="AK30" i="26"/>
  <c r="BS29" i="26"/>
  <c r="AK29" i="26"/>
  <c r="BL23" i="25"/>
  <c r="AK23" i="25"/>
  <c r="BU23" i="26"/>
  <c r="AK23" i="26"/>
  <c r="BZ27" i="25"/>
  <c r="AK27" i="25"/>
  <c r="BZ24" i="26"/>
  <c r="AK24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O204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P204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Q204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R100" i="24"/>
  <c r="R111" i="24" s="1"/>
  <c r="R137" i="24" s="1"/>
  <c r="R150" i="24" s="1"/>
  <c r="R176" i="24" s="1"/>
  <c r="R185" i="24" s="1"/>
  <c r="R216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118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V157" i="26"/>
  <c r="I176" i="24"/>
  <c r="I185" i="24" s="1"/>
  <c r="I216" i="24" s="1"/>
  <c r="I189" i="24"/>
  <c r="I198" i="24" s="1"/>
  <c r="I217" i="24" s="1"/>
  <c r="BH79" i="32"/>
  <c r="R73" i="24"/>
  <c r="X73" i="26"/>
  <c r="J73" i="24"/>
  <c r="K175" i="24"/>
  <c r="K162" i="24"/>
  <c r="K172" i="24" s="1"/>
  <c r="K215" i="24" s="1"/>
  <c r="J175" i="24"/>
  <c r="J162" i="24"/>
  <c r="L201" i="24"/>
  <c r="L162" i="24"/>
  <c r="L172" i="24" s="1"/>
  <c r="L215" i="24" s="1"/>
  <c r="D151" i="26"/>
  <c r="BY54" i="26"/>
  <c r="CA54" i="25"/>
  <c r="BX54" i="24"/>
  <c r="CE54" i="25"/>
  <c r="AZ54" i="24"/>
  <c r="CD104" i="32" s="1"/>
  <c r="E97" i="32" s="1"/>
  <c r="L97" i="32" s="1"/>
  <c r="AS54" i="24"/>
  <c r="CD97" i="32" s="1"/>
  <c r="E90" i="32" s="1"/>
  <c r="L90" i="32" s="1"/>
  <c r="AT54" i="24"/>
  <c r="CD98" i="32" s="1"/>
  <c r="E91" i="32" s="1"/>
  <c r="L91" i="32" s="1"/>
  <c r="BL54" i="24"/>
  <c r="BA54" i="25"/>
  <c r="CE105" i="32" s="1"/>
  <c r="F98" i="32" s="1"/>
  <c r="M98" i="32" s="1"/>
  <c r="BR54" i="25"/>
  <c r="BE54" i="25"/>
  <c r="CE109" i="32" s="1"/>
  <c r="F102" i="32" s="1"/>
  <c r="M102" i="32" s="1"/>
  <c r="BV54" i="25"/>
  <c r="AQ54" i="24"/>
  <c r="CD95" i="32" s="1"/>
  <c r="E88" i="32" s="1"/>
  <c r="L88" i="32" s="1"/>
  <c r="AV54" i="24"/>
  <c r="CD100" i="32" s="1"/>
  <c r="E93" i="32" s="1"/>
  <c r="L93" i="32" s="1"/>
  <c r="BA54" i="24"/>
  <c r="CD105" i="32" s="1"/>
  <c r="E98" i="32" s="1"/>
  <c r="L98" i="32" s="1"/>
  <c r="BJ54" i="24"/>
  <c r="BR54" i="24"/>
  <c r="AO54" i="24"/>
  <c r="CD93" i="32" s="1"/>
  <c r="E86" i="32" s="1"/>
  <c r="L86" i="32" s="1"/>
  <c r="BI54" i="25"/>
  <c r="CE113" i="32" s="1"/>
  <c r="F106" i="32" s="1"/>
  <c r="M106" i="32" s="1"/>
  <c r="BZ54" i="25"/>
  <c r="AV54" i="25"/>
  <c r="CE100" i="32" s="1"/>
  <c r="F93" i="32" s="1"/>
  <c r="M93" i="32" s="1"/>
  <c r="BM54" i="25"/>
  <c r="CD54" i="25"/>
  <c r="AS54" i="25"/>
  <c r="CE97" i="32" s="1"/>
  <c r="F90" i="32" s="1"/>
  <c r="M90" i="32" s="1"/>
  <c r="AY54" i="24"/>
  <c r="CD103" i="32" s="1"/>
  <c r="E96" i="32" s="1"/>
  <c r="L96" i="32" s="1"/>
  <c r="CB54" i="24"/>
  <c r="BI54" i="24"/>
  <c r="CD113" i="32" s="1"/>
  <c r="E106" i="32" s="1"/>
  <c r="L106" i="32" s="1"/>
  <c r="BZ54" i="24"/>
  <c r="AW54" i="24"/>
  <c r="CD101" i="32" s="1"/>
  <c r="E94" i="32" s="1"/>
  <c r="L94" i="32" s="1"/>
  <c r="AR54" i="25"/>
  <c r="CE96" i="32" s="1"/>
  <c r="F89" i="32" s="1"/>
  <c r="M89" i="32" s="1"/>
  <c r="BQ54" i="25"/>
  <c r="BD54" i="25"/>
  <c r="CE108" i="32" s="1"/>
  <c r="F101" i="32" s="1"/>
  <c r="M101" i="32" s="1"/>
  <c r="BU54" i="25"/>
  <c r="BF54" i="26"/>
  <c r="BN54" i="24"/>
  <c r="AW54" i="25"/>
  <c r="CE101" i="32" s="1"/>
  <c r="F94" i="32" s="1"/>
  <c r="M94" i="32" s="1"/>
  <c r="BG54" i="24"/>
  <c r="CD111" i="32" s="1"/>
  <c r="E104" i="32" s="1"/>
  <c r="L104" i="32" s="1"/>
  <c r="AX54" i="24"/>
  <c r="CD102" i="32" s="1"/>
  <c r="E95" i="32" s="1"/>
  <c r="L95" i="32" s="1"/>
  <c r="BQ54" i="24"/>
  <c r="BT54" i="24"/>
  <c r="AU54" i="24"/>
  <c r="CD99" i="32" s="1"/>
  <c r="E92" i="32" s="1"/>
  <c r="L92" i="32" s="1"/>
  <c r="BE54" i="24"/>
  <c r="CD109" i="32" s="1"/>
  <c r="E102" i="32" s="1"/>
  <c r="L102" i="32" s="1"/>
  <c r="AZ54" i="25"/>
  <c r="CE104" i="32" s="1"/>
  <c r="F97" i="32" s="1"/>
  <c r="M97" i="32" s="1"/>
  <c r="BY54" i="25"/>
  <c r="AU54" i="25"/>
  <c r="CE99" i="32" s="1"/>
  <c r="F92" i="32" s="1"/>
  <c r="M92" i="32" s="1"/>
  <c r="BL54" i="25"/>
  <c r="CC54" i="25"/>
  <c r="AY54" i="25"/>
  <c r="CE103" i="32" s="1"/>
  <c r="F96" i="32" s="1"/>
  <c r="M96" i="32" s="1"/>
  <c r="BO54" i="24"/>
  <c r="BV54" i="24"/>
  <c r="BY54" i="24"/>
  <c r="BC54" i="24"/>
  <c r="CD107" i="32" s="1"/>
  <c r="E100" i="32" s="1"/>
  <c r="L100" i="32" s="1"/>
  <c r="BM54" i="24"/>
  <c r="BH54" i="25"/>
  <c r="CE112" i="32" s="1"/>
  <c r="F105" i="32" s="1"/>
  <c r="M105" i="32" s="1"/>
  <c r="BC54" i="25"/>
  <c r="CE107" i="32" s="1"/>
  <c r="F100" i="32" s="1"/>
  <c r="M100" i="32" s="1"/>
  <c r="BT54" i="25"/>
  <c r="BG54" i="25"/>
  <c r="CE111" i="32" s="1"/>
  <c r="F104" i="32" s="1"/>
  <c r="M104" i="32" s="1"/>
  <c r="CA54" i="24"/>
  <c r="BN54" i="25"/>
  <c r="BW54" i="24"/>
  <c r="BD54" i="24"/>
  <c r="CD108" i="32" s="1"/>
  <c r="E101" i="32" s="1"/>
  <c r="L101" i="32" s="1"/>
  <c r="BF54" i="24"/>
  <c r="CD110" i="32" s="1"/>
  <c r="E103" i="32" s="1"/>
  <c r="L103" i="32" s="1"/>
  <c r="BK54" i="24"/>
  <c r="BU54" i="24"/>
  <c r="BP54" i="25"/>
  <c r="AT54" i="25"/>
  <c r="CE98" i="32" s="1"/>
  <c r="F91" i="32" s="1"/>
  <c r="M91" i="32" s="1"/>
  <c r="BK54" i="25"/>
  <c r="CB54" i="25"/>
  <c r="BO54" i="25"/>
  <c r="BJ54" i="25"/>
  <c r="CE54" i="24"/>
  <c r="BP54" i="24"/>
  <c r="BH54" i="24"/>
  <c r="CD112" i="32" s="1"/>
  <c r="E105" i="32" s="1"/>
  <c r="L105" i="32" s="1"/>
  <c r="CD54" i="24"/>
  <c r="BS54" i="24"/>
  <c r="CC54" i="24"/>
  <c r="BX54" i="25"/>
  <c r="BB54" i="25"/>
  <c r="CE106" i="32" s="1"/>
  <c r="F99" i="32" s="1"/>
  <c r="M99" i="32" s="1"/>
  <c r="BS54" i="25"/>
  <c r="BF54" i="25"/>
  <c r="CE110" i="32" s="1"/>
  <c r="F103" i="32" s="1"/>
  <c r="M103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76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N204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M204" i="24" s="1"/>
  <c r="O140" i="24"/>
  <c r="O153" i="24" s="1"/>
  <c r="T143" i="24"/>
  <c r="T156" i="24" s="1"/>
  <c r="R139" i="24"/>
  <c r="R152" i="24" s="1"/>
  <c r="R204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F120" i="24"/>
  <c r="F136" i="24"/>
  <c r="F149" i="24" s="1"/>
  <c r="F162" i="24" s="1"/>
  <c r="F172" i="24" s="1"/>
  <c r="F215" i="24" s="1"/>
  <c r="X120" i="24"/>
  <c r="X136" i="24"/>
  <c r="X149" i="24" s="1"/>
  <c r="X175" i="24" s="1"/>
  <c r="X185" i="24" s="1"/>
  <c r="X216" i="24" s="1"/>
  <c r="L139" i="24"/>
  <c r="L152" i="24" s="1"/>
  <c r="L204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S204" i="24" s="1"/>
  <c r="S211" i="24" s="1"/>
  <c r="S218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76" i="24" s="1"/>
  <c r="Q136" i="24"/>
  <c r="Q149" i="24" s="1"/>
  <c r="Q17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G162" i="24" s="1"/>
  <c r="G172" i="24" s="1"/>
  <c r="G215" i="24" s="1"/>
  <c r="N138" i="24"/>
  <c r="N151" i="24" s="1"/>
  <c r="L120" i="24"/>
  <c r="P73" i="24"/>
  <c r="B216" i="24"/>
  <c r="L73" i="24"/>
  <c r="C73" i="24"/>
  <c r="K137" i="24"/>
  <c r="K150" i="24" s="1"/>
  <c r="K176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K204" i="24" s="1"/>
  <c r="K211" i="24" s="1"/>
  <c r="K218" i="24" s="1"/>
  <c r="D138" i="24"/>
  <c r="D151" i="24" s="1"/>
  <c r="N73" i="24"/>
  <c r="O137" i="24"/>
  <c r="O150" i="24" s="1"/>
  <c r="O176" i="24" s="1"/>
  <c r="O185" i="24" s="1"/>
  <c r="O216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76" i="24" s="1"/>
  <c r="H185" i="24" s="1"/>
  <c r="H216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76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A198" i="24" l="1"/>
  <c r="N164" i="24"/>
  <c r="N177" i="24"/>
  <c r="N185" i="24" s="1"/>
  <c r="N216" i="24" s="1"/>
  <c r="M164" i="24"/>
  <c r="M177" i="24"/>
  <c r="M185" i="24" s="1"/>
  <c r="M216" i="24" s="1"/>
  <c r="P185" i="24"/>
  <c r="P216" i="24" s="1"/>
  <c r="Q185" i="24"/>
  <c r="Q216" i="24" s="1"/>
  <c r="AA121" i="24"/>
  <c r="C68" i="33"/>
  <c r="J172" i="24"/>
  <c r="J215" i="24" s="1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N201" i="24"/>
  <c r="N211" i="24" s="1"/>
  <c r="N218" i="24" s="1"/>
  <c r="N162" i="24"/>
  <c r="R201" i="24"/>
  <c r="R211" i="24" s="1"/>
  <c r="R218" i="24" s="1"/>
  <c r="R162" i="24"/>
  <c r="R172" i="24" s="1"/>
  <c r="R215" i="24" s="1"/>
  <c r="Q201" i="24"/>
  <c r="Q211" i="24" s="1"/>
  <c r="Q218" i="24" s="1"/>
  <c r="Q162" i="24"/>
  <c r="Q172" i="24" s="1"/>
  <c r="Q215" i="24" s="1"/>
  <c r="S175" i="24"/>
  <c r="S185" i="24" s="1"/>
  <c r="S216" i="24" s="1"/>
  <c r="S162" i="24"/>
  <c r="S172" i="24" s="1"/>
  <c r="S215" i="24" s="1"/>
  <c r="M201" i="24"/>
  <c r="M211" i="24" s="1"/>
  <c r="M218" i="24" s="1"/>
  <c r="M162" i="24"/>
  <c r="J185" i="24"/>
  <c r="J216" i="24" s="1"/>
  <c r="V175" i="24"/>
  <c r="V185" i="24" s="1"/>
  <c r="V216" i="24" s="1"/>
  <c r="V162" i="24"/>
  <c r="V172" i="24" s="1"/>
  <c r="V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P172" i="24" s="1"/>
  <c r="P215" i="24" s="1"/>
  <c r="L211" i="24"/>
  <c r="L218" i="24" s="1"/>
  <c r="K185" i="24"/>
  <c r="K216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CC96" i="32" s="1"/>
  <c r="D89" i="32" s="1"/>
  <c r="K89" i="32" s="1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CC106" i="32" s="1"/>
  <c r="D99" i="32" s="1"/>
  <c r="K99" i="32" s="1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M172" i="24" l="1"/>
  <c r="M215" i="24" s="1"/>
  <c r="N172" i="24"/>
  <c r="N215" i="24" s="1"/>
  <c r="AB14" i="22"/>
  <c r="C32" i="22" s="1"/>
  <c r="CC110" i="32"/>
  <c r="D103" i="32" s="1"/>
  <c r="K103" i="32" s="1"/>
  <c r="J103" i="32" s="1"/>
  <c r="R14" i="22"/>
  <c r="C22" i="22" s="1"/>
  <c r="CC100" i="32"/>
  <c r="D93" i="32" s="1"/>
  <c r="K93" i="32" s="1"/>
  <c r="J93" i="32" s="1"/>
  <c r="W14" i="22"/>
  <c r="C27" i="22" s="1"/>
  <c r="CC105" i="32"/>
  <c r="D98" i="32" s="1"/>
  <c r="K98" i="32" s="1"/>
  <c r="J98" i="32" s="1"/>
  <c r="AC14" i="22"/>
  <c r="C33" i="22" s="1"/>
  <c r="CC111" i="32"/>
  <c r="D104" i="32" s="1"/>
  <c r="K104" i="32" s="1"/>
  <c r="J104" i="32" s="1"/>
  <c r="AE14" i="22"/>
  <c r="C35" i="22" s="1"/>
  <c r="CC113" i="32"/>
  <c r="D106" i="32" s="1"/>
  <c r="K106" i="32" s="1"/>
  <c r="J106" i="32" s="1"/>
  <c r="Y14" i="22"/>
  <c r="C29" i="22" s="1"/>
  <c r="CC107" i="32"/>
  <c r="D100" i="32" s="1"/>
  <c r="K100" i="32" s="1"/>
  <c r="J100" i="32" s="1"/>
  <c r="AA14" i="22"/>
  <c r="C31" i="22" s="1"/>
  <c r="CC109" i="32"/>
  <c r="D102" i="32" s="1"/>
  <c r="K102" i="32" s="1"/>
  <c r="J102" i="32" s="1"/>
  <c r="AD14" i="22"/>
  <c r="C34" i="22" s="1"/>
  <c r="CC112" i="32"/>
  <c r="D105" i="32" s="1"/>
  <c r="K105" i="32" s="1"/>
  <c r="J105" i="32" s="1"/>
  <c r="O14" i="22"/>
  <c r="C19" i="22" s="1"/>
  <c r="CC97" i="32"/>
  <c r="D90" i="32" s="1"/>
  <c r="K90" i="32" s="1"/>
  <c r="J90" i="32" s="1"/>
  <c r="U14" i="22"/>
  <c r="C25" i="22" s="1"/>
  <c r="CC103" i="32"/>
  <c r="D96" i="32" s="1"/>
  <c r="K96" i="32" s="1"/>
  <c r="J96" i="32" s="1"/>
  <c r="V14" i="22"/>
  <c r="C26" i="22" s="1"/>
  <c r="CC104" i="32"/>
  <c r="D97" i="32" s="1"/>
  <c r="K97" i="32" s="1"/>
  <c r="J97" i="32" s="1"/>
  <c r="Z14" i="22"/>
  <c r="C30" i="22" s="1"/>
  <c r="CC108" i="32"/>
  <c r="D101" i="32" s="1"/>
  <c r="K101" i="32" s="1"/>
  <c r="J101" i="32" s="1"/>
  <c r="P14" i="22"/>
  <c r="C20" i="22" s="1"/>
  <c r="CC98" i="32"/>
  <c r="D91" i="32" s="1"/>
  <c r="K91" i="32" s="1"/>
  <c r="J91" i="32" s="1"/>
  <c r="AA185" i="24"/>
  <c r="AA221" i="24"/>
  <c r="C301" i="33" s="1"/>
  <c r="AA211" i="24"/>
  <c r="AA219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D88" i="32" s="1"/>
  <c r="K88" i="32" s="1"/>
  <c r="B74" i="15"/>
  <c r="AI20" i="18" s="1"/>
  <c r="B73" i="15"/>
  <c r="AI19" i="18" s="1"/>
  <c r="AA220" i="24" l="1"/>
  <c r="C300" i="33" s="1"/>
  <c r="AA172" i="24"/>
  <c r="AM20" i="18"/>
  <c r="AM54" i="18" s="1"/>
  <c r="CC91" i="32" s="1"/>
  <c r="D84" i="32" s="1"/>
  <c r="K84" i="32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2" s="1"/>
  <c r="F84" i="32" s="1"/>
  <c r="M84" i="32" s="1"/>
  <c r="AN21" i="24"/>
  <c r="AN54" i="24" s="1"/>
  <c r="CD92" i="32" s="1"/>
  <c r="E85" i="32" s="1"/>
  <c r="L85" i="32" s="1"/>
  <c r="AQ21" i="25"/>
  <c r="AQ54" i="25" s="1"/>
  <c r="CE95" i="32" s="1"/>
  <c r="F88" i="32" s="1"/>
  <c r="M88" i="32" s="1"/>
  <c r="J88" i="32" s="1"/>
  <c r="AI18" i="24"/>
  <c r="AK18" i="25"/>
  <c r="AX22" i="18"/>
  <c r="AX22" i="26"/>
  <c r="AX54" i="26" s="1"/>
  <c r="AL21" i="18"/>
  <c r="AL21" i="26"/>
  <c r="AL21" i="25"/>
  <c r="AO19" i="18"/>
  <c r="AO54" i="18" s="1"/>
  <c r="CC93" i="32" s="1"/>
  <c r="D86" i="32" s="1"/>
  <c r="K86" i="32" s="1"/>
  <c r="AO19" i="26"/>
  <c r="AO54" i="26" s="1"/>
  <c r="AN27" i="26"/>
  <c r="AN54" i="26" s="1"/>
  <c r="L34" i="23"/>
  <c r="H9" i="23" s="1"/>
  <c r="K34" i="23"/>
  <c r="AD6" i="32" s="1"/>
  <c r="S14" i="22" l="1"/>
  <c r="C23" i="22" s="1"/>
  <c r="CC101" i="32"/>
  <c r="D94" i="32" s="1"/>
  <c r="K94" i="32" s="1"/>
  <c r="J94" i="32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F95" i="32" s="1"/>
  <c r="M95" i="32" s="1"/>
  <c r="AP22" i="25"/>
  <c r="AO19" i="25"/>
  <c r="AO54" i="25" s="1"/>
  <c r="CE93" i="32" s="1"/>
  <c r="F86" i="32" s="1"/>
  <c r="M86" i="32" s="1"/>
  <c r="J86" i="32" s="1"/>
  <c r="AL19" i="25"/>
  <c r="AM18" i="24"/>
  <c r="AK18" i="24"/>
  <c r="BS12" i="23"/>
  <c r="I23" i="23" s="1"/>
  <c r="BS11" i="23"/>
  <c r="H23" i="23" s="1"/>
  <c r="BS10" i="23"/>
  <c r="G23" i="23" s="1"/>
  <c r="BS9" i="23"/>
  <c r="F23" i="23" s="1"/>
  <c r="BS8" i="23"/>
  <c r="E23" i="23" s="1"/>
  <c r="BS7" i="23"/>
  <c r="D23" i="23" s="1"/>
  <c r="K14" i="22" l="1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5" i="23" s="1"/>
  <c r="T39" i="32" l="1"/>
  <c r="V39" i="32" s="1"/>
  <c r="V44" i="32" s="1"/>
  <c r="V46" i="32" s="1"/>
  <c r="C75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3" l="1"/>
  <c r="C81" i="33"/>
  <c r="AJ36" i="32"/>
  <c r="AJ40" i="32" s="1"/>
  <c r="Z38" i="32"/>
  <c r="Z39" i="32" s="1"/>
  <c r="B42" i="32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P164" i="18"/>
  <c r="O164" i="18"/>
  <c r="N164" i="18"/>
  <c r="M164" i="18"/>
  <c r="C164" i="18"/>
  <c r="B164" i="18"/>
  <c r="A164" i="18"/>
  <c r="A163" i="18"/>
  <c r="Y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O72" i="18" s="1"/>
  <c r="N48" i="18"/>
  <c r="M48" i="18"/>
  <c r="L48" i="18"/>
  <c r="K48" i="18"/>
  <c r="J48" i="18"/>
  <c r="I48" i="18"/>
  <c r="I72" i="18" s="1"/>
  <c r="H48" i="18"/>
  <c r="G48" i="18"/>
  <c r="G72" i="18" s="1"/>
  <c r="F48" i="18"/>
  <c r="E48" i="18"/>
  <c r="D48" i="18"/>
  <c r="C48" i="18"/>
  <c r="B48" i="18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C82" i="33" l="1"/>
  <c r="D163" i="33" s="1"/>
  <c r="AB40" i="32"/>
  <c r="AD40" i="32" s="1"/>
  <c r="AE40" i="32" s="1"/>
  <c r="AB39" i="32"/>
  <c r="AB38" i="32"/>
  <c r="B43" i="32"/>
  <c r="J43" i="32" s="1"/>
  <c r="C207" i="33" s="1"/>
  <c r="D200" i="33"/>
  <c r="D150" i="33"/>
  <c r="G63" i="33"/>
  <c r="D88" i="33"/>
  <c r="K261" i="33" s="1"/>
  <c r="D74" i="33"/>
  <c r="D139" i="33"/>
  <c r="D147" i="33"/>
  <c r="D69" i="33"/>
  <c r="D213" i="33"/>
  <c r="D215" i="33"/>
  <c r="D219" i="33"/>
  <c r="D85" i="33"/>
  <c r="K258" i="33" s="1"/>
  <c r="L225" i="33"/>
  <c r="D146" i="33"/>
  <c r="D230" i="33"/>
  <c r="J42" i="32"/>
  <c r="C206" i="33" s="1"/>
  <c r="B44" i="32"/>
  <c r="J44" i="32" s="1"/>
  <c r="C208" i="33" s="1"/>
  <c r="D97" i="33"/>
  <c r="H65" i="18"/>
  <c r="AN49" i="32"/>
  <c r="AN71" i="32" s="1"/>
  <c r="G66" i="18"/>
  <c r="AM50" i="32"/>
  <c r="AM72" i="32" s="1"/>
  <c r="J63" i="18"/>
  <c r="AP47" i="32"/>
  <c r="AP69" i="32" s="1"/>
  <c r="R63" i="18"/>
  <c r="AX47" i="32"/>
  <c r="AX69" i="32" s="1"/>
  <c r="I64" i="18"/>
  <c r="AO48" i="32"/>
  <c r="AO70" i="32" s="1"/>
  <c r="B64" i="18"/>
  <c r="AH48" i="32"/>
  <c r="AH70" i="32" s="1"/>
  <c r="K72" i="23"/>
  <c r="C171" i="33"/>
  <c r="C169" i="3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J218" i="33" l="1"/>
  <c r="D168" i="33"/>
  <c r="D66" i="33"/>
  <c r="D228" i="33"/>
  <c r="D91" i="33"/>
  <c r="D92" i="33"/>
  <c r="D204" i="33"/>
  <c r="D226" i="33"/>
  <c r="D87" i="33"/>
  <c r="K260" i="33" s="1"/>
  <c r="D95" i="33"/>
  <c r="D167" i="33"/>
  <c r="J216" i="33"/>
  <c r="D90" i="33"/>
  <c r="K254" i="33" s="1"/>
  <c r="D89" i="33"/>
  <c r="K262" i="33" s="1"/>
  <c r="D165" i="33"/>
  <c r="D196" i="33"/>
  <c r="D232" i="33"/>
  <c r="D233" i="33"/>
  <c r="D72" i="33"/>
  <c r="D76" i="33"/>
  <c r="D77" i="33"/>
  <c r="D140" i="33"/>
  <c r="D81" i="33"/>
  <c r="J205" i="33" s="1"/>
  <c r="L205" i="33" s="1"/>
  <c r="D222" i="33"/>
  <c r="L223" i="33"/>
  <c r="AJ198" i="33" s="1"/>
  <c r="AJ203" i="33" s="1"/>
  <c r="AK203" i="33" s="1"/>
  <c r="D166" i="33"/>
  <c r="D86" i="33"/>
  <c r="K259" i="33" s="1"/>
  <c r="D65" i="33"/>
  <c r="J193" i="33" s="1"/>
  <c r="J194" i="33" s="1"/>
  <c r="I199" i="33" s="1"/>
  <c r="J199" i="33" s="1"/>
  <c r="J217" i="33"/>
  <c r="D227" i="33"/>
  <c r="L224" i="33"/>
  <c r="D80" i="33"/>
  <c r="J206" i="33" s="1"/>
  <c r="L206" i="33" s="1"/>
  <c r="D78" i="33"/>
  <c r="D169" i="33"/>
  <c r="D231" i="33"/>
  <c r="D68" i="33"/>
  <c r="D64" i="33"/>
  <c r="Q193" i="33" s="1"/>
  <c r="Q194" i="33" s="1"/>
  <c r="P199" i="33" s="1"/>
  <c r="Q199" i="33" s="1"/>
  <c r="D141" i="33"/>
  <c r="D94" i="33"/>
  <c r="D96" i="33"/>
  <c r="D164" i="33"/>
  <c r="D71" i="33"/>
  <c r="D73" i="33"/>
  <c r="K255" i="33" s="1"/>
  <c r="D217" i="33"/>
  <c r="D93" i="33"/>
  <c r="D229" i="33"/>
  <c r="D79" i="33"/>
  <c r="D63" i="33"/>
  <c r="W193" i="33" s="1"/>
  <c r="W194" i="33" s="1"/>
  <c r="D198" i="33"/>
  <c r="D205" i="33"/>
  <c r="D208" i="33"/>
  <c r="D206" i="33"/>
  <c r="D75" i="33"/>
  <c r="K257" i="33" s="1"/>
  <c r="J220" i="33"/>
  <c r="J221" i="33" s="1"/>
  <c r="L210" i="33" s="1"/>
  <c r="L254" i="33"/>
  <c r="O254" i="33" s="1"/>
  <c r="AJ204" i="33"/>
  <c r="AK204" i="33" s="1"/>
  <c r="AJ201" i="33"/>
  <c r="AK201" i="33" s="1"/>
  <c r="O262" i="33"/>
  <c r="D271" i="33"/>
  <c r="L258" i="33"/>
  <c r="O258" i="33" s="1"/>
  <c r="K256" i="33"/>
  <c r="L261" i="33"/>
  <c r="D270" i="33" s="1"/>
  <c r="L260" i="33"/>
  <c r="D269" i="33" s="1"/>
  <c r="L259" i="33"/>
  <c r="O259" i="33" s="1"/>
  <c r="I200" i="33"/>
  <c r="J200" i="33" s="1"/>
  <c r="L255" i="33"/>
  <c r="O255" i="33" s="1"/>
  <c r="DQ72" i="33"/>
  <c r="DQ84" i="33" s="1"/>
  <c r="EB69" i="33"/>
  <c r="EB80" i="33" s="1"/>
  <c r="DF67" i="33"/>
  <c r="DF78" i="33" s="1"/>
  <c r="DQ64" i="33"/>
  <c r="DQ75" i="33" s="1"/>
  <c r="CY71" i="33"/>
  <c r="CY82" i="33" s="1"/>
  <c r="CC69" i="33"/>
  <c r="CC80" i="33" s="1"/>
  <c r="CN66" i="33"/>
  <c r="CN77" i="33" s="1"/>
  <c r="DQ71" i="33"/>
  <c r="DQ82" i="33" s="1"/>
  <c r="EB68" i="33"/>
  <c r="EB79" i="33" s="1"/>
  <c r="DF66" i="33"/>
  <c r="DF77" i="33" s="1"/>
  <c r="CN73" i="33"/>
  <c r="CN85" i="33" s="1"/>
  <c r="CY70" i="33"/>
  <c r="CY81" i="33" s="1"/>
  <c r="CC68" i="33"/>
  <c r="CC79" i="33" s="1"/>
  <c r="DF73" i="33"/>
  <c r="DF85" i="33" s="1"/>
  <c r="DQ70" i="33"/>
  <c r="DQ81" i="33" s="1"/>
  <c r="EB67" i="33"/>
  <c r="EB78" i="33" s="1"/>
  <c r="DF65" i="33"/>
  <c r="DF76" i="33" s="1"/>
  <c r="CN72" i="33"/>
  <c r="CN84" i="33" s="1"/>
  <c r="CY69" i="33"/>
  <c r="CY80" i="33" s="1"/>
  <c r="CC67" i="33"/>
  <c r="CC78" i="33" s="1"/>
  <c r="DF72" i="33"/>
  <c r="DF84" i="33" s="1"/>
  <c r="DQ69" i="33"/>
  <c r="DQ80" i="33" s="1"/>
  <c r="EB66" i="33"/>
  <c r="EB77" i="33" s="1"/>
  <c r="DF64" i="33"/>
  <c r="DF75" i="33" s="1"/>
  <c r="CN71" i="33"/>
  <c r="CN82" i="33" s="1"/>
  <c r="CY68" i="33"/>
  <c r="CY79" i="33" s="1"/>
  <c r="EB73" i="33"/>
  <c r="EB85" i="33" s="1"/>
  <c r="DF71" i="33"/>
  <c r="DF82" i="33" s="1"/>
  <c r="DQ68" i="33"/>
  <c r="DQ79" i="33" s="1"/>
  <c r="EB65" i="33"/>
  <c r="EB76" i="33" s="1"/>
  <c r="CC73" i="33"/>
  <c r="CC85" i="33" s="1"/>
  <c r="CN70" i="33"/>
  <c r="CN81" i="33" s="1"/>
  <c r="CY67" i="33"/>
  <c r="CY78" i="33" s="1"/>
  <c r="DL72" i="33"/>
  <c r="DL84" i="33" s="1"/>
  <c r="DO69" i="33"/>
  <c r="DO80" i="33" s="1"/>
  <c r="DZ66" i="33"/>
  <c r="DZ77" i="33" s="1"/>
  <c r="DL64" i="33"/>
  <c r="DL75" i="33" s="1"/>
  <c r="CL71" i="33"/>
  <c r="CL82" i="33" s="1"/>
  <c r="CW68" i="33"/>
  <c r="CW79" i="33" s="1"/>
  <c r="DY73" i="33"/>
  <c r="DY85" i="33" s="1"/>
  <c r="CY73" i="33"/>
  <c r="CY85" i="33" s="1"/>
  <c r="CQ65" i="33"/>
  <c r="CQ76" i="33" s="1"/>
  <c r="BO72" i="33"/>
  <c r="BO84" i="33" s="1"/>
  <c r="AY70" i="33"/>
  <c r="AY81" i="33" s="1"/>
  <c r="BG67" i="33"/>
  <c r="BG78" i="33" s="1"/>
  <c r="BO64" i="33"/>
  <c r="DX66" i="33"/>
  <c r="DX77" i="33" s="1"/>
  <c r="CX66" i="33"/>
  <c r="CX77" i="33" s="1"/>
  <c r="BN73" i="33"/>
  <c r="BN85" i="33" s="1"/>
  <c r="AX71" i="33"/>
  <c r="AX82" i="33" s="1"/>
  <c r="BF68" i="33"/>
  <c r="BF79" i="33" s="1"/>
  <c r="BN65" i="33"/>
  <c r="BN76" i="33" s="1"/>
  <c r="DK71" i="33"/>
  <c r="DK82" i="33" s="1"/>
  <c r="CC71" i="33"/>
  <c r="CC82" i="33" s="1"/>
  <c r="CX64" i="33"/>
  <c r="AW72" i="33"/>
  <c r="AW84" i="33" s="1"/>
  <c r="BE69" i="33"/>
  <c r="BE80" i="33" s="1"/>
  <c r="BM66" i="33"/>
  <c r="AW64" i="33"/>
  <c r="DJ64" i="33"/>
  <c r="DJ75" i="33" s="1"/>
  <c r="CV65" i="33"/>
  <c r="CV76" i="33" s="1"/>
  <c r="AV73" i="33"/>
  <c r="AV85" i="33" s="1"/>
  <c r="BD70" i="33"/>
  <c r="BD81" i="33" s="1"/>
  <c r="BL67" i="33"/>
  <c r="BL78" i="33" s="1"/>
  <c r="AV65" i="33"/>
  <c r="DO67" i="33"/>
  <c r="DO78" i="33" s="1"/>
  <c r="CP66" i="33"/>
  <c r="CP77" i="33" s="1"/>
  <c r="BS73" i="33"/>
  <c r="BS85" i="33" s="1"/>
  <c r="BC71" i="33"/>
  <c r="BC82" i="33" s="1"/>
  <c r="BK68" i="33"/>
  <c r="BK79" i="33" s="1"/>
  <c r="BS65" i="33"/>
  <c r="DN69" i="33"/>
  <c r="DN80" i="33" s="1"/>
  <c r="CN67" i="33"/>
  <c r="CN78" i="33" s="1"/>
  <c r="CE64" i="33"/>
  <c r="BJ71" i="33"/>
  <c r="BJ82" i="33" s="1"/>
  <c r="BR68" i="33"/>
  <c r="BR79" i="33" s="1"/>
  <c r="BB66" i="33"/>
  <c r="DZ72" i="33"/>
  <c r="DZ84" i="33" s="1"/>
  <c r="CR71" i="33"/>
  <c r="CR82" i="33" s="1"/>
  <c r="CB65" i="33"/>
  <c r="BH72" i="33"/>
  <c r="BH84" i="33" s="1"/>
  <c r="BP69" i="33"/>
  <c r="BP80" i="33" s="1"/>
  <c r="AZ67" i="33"/>
  <c r="BH64" i="33"/>
  <c r="BH75" i="33" s="1"/>
  <c r="DI72" i="33"/>
  <c r="DI84" i="33" s="1"/>
  <c r="DT69" i="33"/>
  <c r="DT80" i="33" s="1"/>
  <c r="DW66" i="33"/>
  <c r="DW77" i="33" s="1"/>
  <c r="DI64" i="33"/>
  <c r="DI75" i="33" s="1"/>
  <c r="CQ71" i="33"/>
  <c r="CQ82" i="33" s="1"/>
  <c r="CT68" i="33"/>
  <c r="CT79" i="33" s="1"/>
  <c r="DW73" i="33"/>
  <c r="DW85" i="33" s="1"/>
  <c r="DI71" i="33"/>
  <c r="DI82" i="33" s="1"/>
  <c r="DT68" i="33"/>
  <c r="DT79" i="33" s="1"/>
  <c r="DW65" i="33"/>
  <c r="DW76" i="33" s="1"/>
  <c r="CF73" i="33"/>
  <c r="CF85" i="33" s="1"/>
  <c r="CQ70" i="33"/>
  <c r="CQ81" i="33" s="1"/>
  <c r="CT67" i="33"/>
  <c r="CT78" i="33" s="1"/>
  <c r="DW72" i="33"/>
  <c r="DW84" i="33" s="1"/>
  <c r="DI70" i="33"/>
  <c r="DI81" i="33" s="1"/>
  <c r="DT67" i="33"/>
  <c r="DT78" i="33" s="1"/>
  <c r="DW64" i="33"/>
  <c r="DW75" i="33" s="1"/>
  <c r="CF72" i="33"/>
  <c r="CF84" i="33" s="1"/>
  <c r="CQ69" i="33"/>
  <c r="CQ80" i="33" s="1"/>
  <c r="CT66" i="33"/>
  <c r="CT77" i="33" s="1"/>
  <c r="DW71" i="33"/>
  <c r="DW82" i="33" s="1"/>
  <c r="DI69" i="33"/>
  <c r="DI80" i="33" s="1"/>
  <c r="DT66" i="33"/>
  <c r="DT77" i="33" s="1"/>
  <c r="CT73" i="33"/>
  <c r="CT85" i="33" s="1"/>
  <c r="CF71" i="33"/>
  <c r="CF82" i="33" s="1"/>
  <c r="CQ68" i="33"/>
  <c r="CQ79" i="33" s="1"/>
  <c r="DT73" i="33"/>
  <c r="DT85" i="33" s="1"/>
  <c r="DW70" i="33"/>
  <c r="DW81" i="33" s="1"/>
  <c r="DI68" i="33"/>
  <c r="DI79" i="33" s="1"/>
  <c r="DT65" i="33"/>
  <c r="DT76" i="33" s="1"/>
  <c r="CT72" i="33"/>
  <c r="CT84" i="33" s="1"/>
  <c r="CF70" i="33"/>
  <c r="CF81" i="33" s="1"/>
  <c r="CQ67" i="33"/>
  <c r="CQ78" i="33" s="1"/>
  <c r="DU71" i="33"/>
  <c r="DU82" i="33" s="1"/>
  <c r="DG69" i="33"/>
  <c r="DG80" i="33" s="1"/>
  <c r="DR66" i="33"/>
  <c r="DR77" i="33" s="1"/>
  <c r="CR73" i="33"/>
  <c r="CR85" i="33" s="1"/>
  <c r="CD71" i="33"/>
  <c r="CD82" i="33" s="1"/>
  <c r="CO68" i="33"/>
  <c r="CO79" i="33" s="1"/>
  <c r="DS72" i="33"/>
  <c r="DS84" i="33" s="1"/>
  <c r="CR72" i="33"/>
  <c r="CR84" i="33" s="1"/>
  <c r="CI65" i="33"/>
  <c r="CI76" i="33" s="1"/>
  <c r="BG72" i="33"/>
  <c r="BG84" i="33" s="1"/>
  <c r="BO69" i="33"/>
  <c r="BO80" i="33" s="1"/>
  <c r="AY67" i="33"/>
  <c r="BG64" i="33"/>
  <c r="BG75" i="33" s="1"/>
  <c r="DR65" i="33"/>
  <c r="DR76" i="33" s="1"/>
  <c r="CG66" i="33"/>
  <c r="CG77" i="33" s="1"/>
  <c r="BF73" i="33"/>
  <c r="BF85" i="33" s="1"/>
  <c r="BN70" i="33"/>
  <c r="BN81" i="33" s="1"/>
  <c r="AX68" i="33"/>
  <c r="AX79" i="33" s="1"/>
  <c r="BF65" i="33"/>
  <c r="BF76" i="33" s="1"/>
  <c r="DW68" i="33"/>
  <c r="DW79" i="33" s="1"/>
  <c r="CC70" i="33"/>
  <c r="CC81" i="33" s="1"/>
  <c r="CP64" i="33"/>
  <c r="CP75" i="33" s="1"/>
  <c r="BM71" i="33"/>
  <c r="BM82" i="33" s="1"/>
  <c r="AW69" i="33"/>
  <c r="AW80" i="33" s="1"/>
  <c r="BE66" i="33"/>
  <c r="DJ73" i="33"/>
  <c r="DJ85" i="33" s="1"/>
  <c r="CP73" i="33"/>
  <c r="CP85" i="33" s="1"/>
  <c r="CN65" i="33"/>
  <c r="CN76" i="33" s="1"/>
  <c r="BL72" i="33"/>
  <c r="BL84" i="33" s="1"/>
  <c r="AV70" i="33"/>
  <c r="AV81" i="33" s="1"/>
  <c r="BD67" i="33"/>
  <c r="BL64" i="33"/>
  <c r="BL75" i="33" s="1"/>
  <c r="DI66" i="33"/>
  <c r="DI77" i="33" s="1"/>
  <c r="CD66" i="33"/>
  <c r="CD77" i="33" s="1"/>
  <c r="BK73" i="33"/>
  <c r="BK85" i="33" s="1"/>
  <c r="BS70" i="33"/>
  <c r="BS81" i="33" s="1"/>
  <c r="BC68" i="33"/>
  <c r="BC79" i="33" s="1"/>
  <c r="BK65" i="33"/>
  <c r="BK76" i="33" s="1"/>
  <c r="DN68" i="33"/>
  <c r="DN79" i="33" s="1"/>
  <c r="CO66" i="33"/>
  <c r="CO77" i="33" s="1"/>
  <c r="BR73" i="33"/>
  <c r="BR85" i="33" s="1"/>
  <c r="BB71" i="33"/>
  <c r="BB82" i="33" s="1"/>
  <c r="BJ68" i="33"/>
  <c r="BJ79" i="33" s="1"/>
  <c r="BR65" i="33"/>
  <c r="DT71" i="33"/>
  <c r="DT82" i="33" s="1"/>
  <c r="CL70" i="33"/>
  <c r="CL81" i="33" s="1"/>
  <c r="CS64" i="33"/>
  <c r="AZ72" i="33"/>
  <c r="AZ84" i="33" s="1"/>
  <c r="BH69" i="33"/>
  <c r="BH80" i="33" s="1"/>
  <c r="BP66" i="33"/>
  <c r="DZ71" i="33"/>
  <c r="DZ82" i="33" s="1"/>
  <c r="DL69" i="33"/>
  <c r="DL80" i="33" s="1"/>
  <c r="DO66" i="33"/>
  <c r="DO77" i="33" s="1"/>
  <c r="CW73" i="33"/>
  <c r="CW85" i="33" s="1"/>
  <c r="CI71" i="33"/>
  <c r="CI82" i="33" s="1"/>
  <c r="CL68" i="33"/>
  <c r="CL79" i="33" s="1"/>
  <c r="DO73" i="33"/>
  <c r="DO85" i="33" s="1"/>
  <c r="DZ70" i="33"/>
  <c r="DZ81" i="33" s="1"/>
  <c r="DL68" i="33"/>
  <c r="DL79" i="33" s="1"/>
  <c r="DO65" i="33"/>
  <c r="DO76" i="33" s="1"/>
  <c r="CW72" i="33"/>
  <c r="CW84" i="33" s="1"/>
  <c r="CI70" i="33"/>
  <c r="CI81" i="33" s="1"/>
  <c r="CL67" i="33"/>
  <c r="CL78" i="33" s="1"/>
  <c r="DO72" i="33"/>
  <c r="DO84" i="33" s="1"/>
  <c r="DZ69" i="33"/>
  <c r="DZ80" i="33" s="1"/>
  <c r="DL67" i="33"/>
  <c r="DL78" i="33" s="1"/>
  <c r="DO64" i="33"/>
  <c r="DO75" i="33" s="1"/>
  <c r="CW71" i="33"/>
  <c r="CW82" i="33" s="1"/>
  <c r="CI69" i="33"/>
  <c r="CI80" i="33" s="1"/>
  <c r="CL66" i="33"/>
  <c r="CL77" i="33" s="1"/>
  <c r="DO71" i="33"/>
  <c r="DO82" i="33" s="1"/>
  <c r="DZ68" i="33"/>
  <c r="DZ79" i="33" s="1"/>
  <c r="DL66" i="33"/>
  <c r="DL77" i="33" s="1"/>
  <c r="CL73" i="33"/>
  <c r="CL85" i="33" s="1"/>
  <c r="CW70" i="33"/>
  <c r="CW81" i="33" s="1"/>
  <c r="CI68" i="33"/>
  <c r="CI79" i="33" s="1"/>
  <c r="DL73" i="33"/>
  <c r="DL85" i="33" s="1"/>
  <c r="DO70" i="33"/>
  <c r="DO81" i="33" s="1"/>
  <c r="DZ67" i="33"/>
  <c r="DZ78" i="33" s="1"/>
  <c r="DL65" i="33"/>
  <c r="DL76" i="33" s="1"/>
  <c r="CL72" i="33"/>
  <c r="CL84" i="33" s="1"/>
  <c r="CW69" i="33"/>
  <c r="CW80" i="33" s="1"/>
  <c r="CI67" i="33"/>
  <c r="CI78" i="33" s="1"/>
  <c r="DM71" i="33"/>
  <c r="DM82" i="33" s="1"/>
  <c r="DX68" i="33"/>
  <c r="DX79" i="33" s="1"/>
  <c r="DJ66" i="33"/>
  <c r="DJ77" i="33" s="1"/>
  <c r="CJ73" i="33"/>
  <c r="CJ85" i="33" s="1"/>
  <c r="CU70" i="33"/>
  <c r="CU81" i="33" s="1"/>
  <c r="CG68" i="33"/>
  <c r="CG79" i="33" s="1"/>
  <c r="DS71" i="33"/>
  <c r="DS82" i="33" s="1"/>
  <c r="CK71" i="33"/>
  <c r="CK82" i="33" s="1"/>
  <c r="CR64" i="33"/>
  <c r="AY72" i="33"/>
  <c r="AY84" i="33" s="1"/>
  <c r="BG69" i="33"/>
  <c r="BG80" i="33" s="1"/>
  <c r="BO66" i="33"/>
  <c r="AY64" i="33"/>
  <c r="DR64" i="33"/>
  <c r="DR75" i="33" s="1"/>
  <c r="CX65" i="33"/>
  <c r="AX73" i="33"/>
  <c r="AX85" i="33" s="1"/>
  <c r="BF70" i="33"/>
  <c r="BF81" i="33" s="1"/>
  <c r="BN67" i="33"/>
  <c r="BN78" i="33" s="1"/>
  <c r="AX65" i="33"/>
  <c r="DW67" i="33"/>
  <c r="DW78" i="33" s="1"/>
  <c r="CW67" i="33"/>
  <c r="CW78" i="33" s="1"/>
  <c r="CH64" i="33"/>
  <c r="BE71" i="33"/>
  <c r="BE82" i="33" s="1"/>
  <c r="BM68" i="33"/>
  <c r="BM79" i="33" s="1"/>
  <c r="AW66" i="33"/>
  <c r="DJ72" i="33"/>
  <c r="DJ84" i="33" s="1"/>
  <c r="CI72" i="33"/>
  <c r="CI84" i="33" s="1"/>
  <c r="CF65" i="33"/>
  <c r="BD72" i="33"/>
  <c r="BD84" i="33" s="1"/>
  <c r="BL69" i="33"/>
  <c r="BL80" i="33" s="1"/>
  <c r="AV67" i="33"/>
  <c r="BD64" i="33"/>
  <c r="DI65" i="33"/>
  <c r="DI76" i="33" s="1"/>
  <c r="CU65" i="33"/>
  <c r="CU76" i="33" s="1"/>
  <c r="BC73" i="33"/>
  <c r="BC85" i="33" s="1"/>
  <c r="BK70" i="33"/>
  <c r="BK81" i="33" s="1"/>
  <c r="BS67" i="33"/>
  <c r="BC65" i="33"/>
  <c r="DH67" i="33"/>
  <c r="DH78" i="33" s="1"/>
  <c r="CC66" i="33"/>
  <c r="CC77" i="33" s="1"/>
  <c r="BJ73" i="33"/>
  <c r="BJ85" i="33" s="1"/>
  <c r="BR70" i="33"/>
  <c r="BR81" i="33" s="1"/>
  <c r="BB68" i="33"/>
  <c r="BB79" i="33" s="1"/>
  <c r="BJ65" i="33"/>
  <c r="BJ76" i="33" s="1"/>
  <c r="DM70" i="33"/>
  <c r="DM81" i="33" s="1"/>
  <c r="CL69" i="33"/>
  <c r="CL80" i="33" s="1"/>
  <c r="CK64" i="33"/>
  <c r="BP71" i="33"/>
  <c r="BP82" i="33" s="1"/>
  <c r="AZ69" i="33"/>
  <c r="AZ80" i="33" s="1"/>
  <c r="BH66" i="33"/>
  <c r="BH77" i="33" s="1"/>
  <c r="CS71" i="33"/>
  <c r="CS82" i="33" s="1"/>
  <c r="DR71" i="33"/>
  <c r="DR82" i="33" s="1"/>
  <c r="DU68" i="33"/>
  <c r="DU79" i="33" s="1"/>
  <c r="DG66" i="33"/>
  <c r="DG77" i="33" s="1"/>
  <c r="CO73" i="33"/>
  <c r="CO85" i="33" s="1"/>
  <c r="CR70" i="33"/>
  <c r="CR81" i="33" s="1"/>
  <c r="CD68" i="33"/>
  <c r="CD79" i="33" s="1"/>
  <c r="DG73" i="33"/>
  <c r="DG85" i="33" s="1"/>
  <c r="DR70" i="33"/>
  <c r="DR81" i="33" s="1"/>
  <c r="DU67" i="33"/>
  <c r="DU78" i="33" s="1"/>
  <c r="DG65" i="33"/>
  <c r="DG76" i="33" s="1"/>
  <c r="CO72" i="33"/>
  <c r="CO84" i="33" s="1"/>
  <c r="CR69" i="33"/>
  <c r="CR80" i="33" s="1"/>
  <c r="CD67" i="33"/>
  <c r="CD78" i="33" s="1"/>
  <c r="DG72" i="33"/>
  <c r="DG84" i="33" s="1"/>
  <c r="DR69" i="33"/>
  <c r="DR80" i="33" s="1"/>
  <c r="DU66" i="33"/>
  <c r="DU77" i="33" s="1"/>
  <c r="DG64" i="33"/>
  <c r="DG75" i="33" s="1"/>
  <c r="CO71" i="33"/>
  <c r="CO82" i="33" s="1"/>
  <c r="CR68" i="33"/>
  <c r="CR79" i="33" s="1"/>
  <c r="DU73" i="33"/>
  <c r="DU85" i="33" s="1"/>
  <c r="DG71" i="33"/>
  <c r="DG82" i="33" s="1"/>
  <c r="DR68" i="33"/>
  <c r="DR79" i="33" s="1"/>
  <c r="DU65" i="33"/>
  <c r="DU76" i="33" s="1"/>
  <c r="CD73" i="33"/>
  <c r="CD85" i="33" s="1"/>
  <c r="CO70" i="33"/>
  <c r="CO81" i="33" s="1"/>
  <c r="CR67" i="33"/>
  <c r="CR78" i="33" s="1"/>
  <c r="DU72" i="33"/>
  <c r="DU84" i="33" s="1"/>
  <c r="DG70" i="33"/>
  <c r="DG81" i="33" s="1"/>
  <c r="DR67" i="33"/>
  <c r="DR78" i="33" s="1"/>
  <c r="DU64" i="33"/>
  <c r="DU75" i="33" s="1"/>
  <c r="CD72" i="33"/>
  <c r="CD84" i="33" s="1"/>
  <c r="CO69" i="33"/>
  <c r="CO80" i="33" s="1"/>
  <c r="EA73" i="33"/>
  <c r="EA85" i="33" s="1"/>
  <c r="DE71" i="33"/>
  <c r="DE82" i="33" s="1"/>
  <c r="DP68" i="33"/>
  <c r="DP79" i="33" s="1"/>
  <c r="EA65" i="33"/>
  <c r="EA76" i="33" s="1"/>
  <c r="CB73" i="33"/>
  <c r="CB85" i="33" s="1"/>
  <c r="CM70" i="33"/>
  <c r="CM81" i="33" s="1"/>
  <c r="CX67" i="33"/>
  <c r="CX78" i="33" s="1"/>
  <c r="DL70" i="33"/>
  <c r="DL81" i="33" s="1"/>
  <c r="CK70" i="33"/>
  <c r="CK81" i="33" s="1"/>
  <c r="CJ64" i="33"/>
  <c r="BO71" i="33"/>
  <c r="BO82" i="33" s="1"/>
  <c r="AY69" i="33"/>
  <c r="AY80" i="33" s="1"/>
  <c r="BG66" i="33"/>
  <c r="BG77" i="33" s="1"/>
  <c r="DR73" i="33"/>
  <c r="DR85" i="33" s="1"/>
  <c r="CX73" i="33"/>
  <c r="CX85" i="33" s="1"/>
  <c r="CP65" i="33"/>
  <c r="CP76" i="33" s="1"/>
  <c r="BN72" i="33"/>
  <c r="BN84" i="33" s="1"/>
  <c r="AX70" i="33"/>
  <c r="AX81" i="33" s="1"/>
  <c r="BF67" i="33"/>
  <c r="BN64" i="33"/>
  <c r="DQ66" i="33"/>
  <c r="DQ77" i="33" s="1"/>
  <c r="CW66" i="33"/>
  <c r="CW77" i="33" s="1"/>
  <c r="BM73" i="33"/>
  <c r="BM85" i="33" s="1"/>
  <c r="AW71" i="33"/>
  <c r="AW82" i="33" s="1"/>
  <c r="BE68" i="33"/>
  <c r="BE79" i="33" s="1"/>
  <c r="BM65" i="33"/>
  <c r="BM76" i="33" s="1"/>
  <c r="DV69" i="33"/>
  <c r="DV80" i="33" s="1"/>
  <c r="CB71" i="33"/>
  <c r="CB82" i="33" s="1"/>
  <c r="CW64" i="33"/>
  <c r="AV72" i="33"/>
  <c r="AV84" i="33" s="1"/>
  <c r="BD69" i="33"/>
  <c r="BD80" i="33" s="1"/>
  <c r="BL66" i="33"/>
  <c r="AV64" i="33"/>
  <c r="CI73" i="33"/>
  <c r="CI85" i="33" s="1"/>
  <c r="CM65" i="33"/>
  <c r="CM76" i="33" s="1"/>
  <c r="BS72" i="33"/>
  <c r="BS84" i="33" s="1"/>
  <c r="BC70" i="33"/>
  <c r="BC81" i="33" s="1"/>
  <c r="BK67" i="33"/>
  <c r="BK78" i="33" s="1"/>
  <c r="BS64" i="33"/>
  <c r="DH66" i="33"/>
  <c r="DH77" i="33" s="1"/>
  <c r="CT65" i="33"/>
  <c r="CT76" i="33" s="1"/>
  <c r="BB73" i="33"/>
  <c r="BB85" i="33" s="1"/>
  <c r="BJ70" i="33"/>
  <c r="BJ81" i="33" s="1"/>
  <c r="BR67" i="33"/>
  <c r="BB65" i="33"/>
  <c r="DF69" i="33"/>
  <c r="DF80" i="33" s="1"/>
  <c r="CF68" i="33"/>
  <c r="CF79" i="33" s="1"/>
  <c r="CC64" i="33"/>
  <c r="BH71" i="33"/>
  <c r="BH82" i="33" s="1"/>
  <c r="BP68" i="33"/>
  <c r="BP79" i="33" s="1"/>
  <c r="AZ66" i="33"/>
  <c r="CG67" i="33"/>
  <c r="CG78" i="33" s="1"/>
  <c r="DX73" i="33"/>
  <c r="DX85" i="33" s="1"/>
  <c r="DJ71" i="33"/>
  <c r="DJ82" i="33" s="1"/>
  <c r="DM68" i="33"/>
  <c r="DM79" i="33" s="1"/>
  <c r="DX65" i="33"/>
  <c r="DX76" i="33" s="1"/>
  <c r="CG73" i="33"/>
  <c r="CG85" i="33" s="1"/>
  <c r="CJ70" i="33"/>
  <c r="CJ81" i="33" s="1"/>
  <c r="CU67" i="33"/>
  <c r="CU78" i="33" s="1"/>
  <c r="DX72" i="33"/>
  <c r="DX84" i="33" s="1"/>
  <c r="DJ70" i="33"/>
  <c r="DJ81" i="33" s="1"/>
  <c r="DM67" i="33"/>
  <c r="DM78" i="33" s="1"/>
  <c r="DX64" i="33"/>
  <c r="DX75" i="33" s="1"/>
  <c r="CG72" i="33"/>
  <c r="CG84" i="33" s="1"/>
  <c r="CJ69" i="33"/>
  <c r="CJ80" i="33" s="1"/>
  <c r="CU66" i="33"/>
  <c r="CU77" i="33" s="1"/>
  <c r="DX71" i="33"/>
  <c r="DX82" i="33" s="1"/>
  <c r="DJ69" i="33"/>
  <c r="DJ80" i="33" s="1"/>
  <c r="DM66" i="33"/>
  <c r="DM77" i="33" s="1"/>
  <c r="CU73" i="33"/>
  <c r="CU85" i="33" s="1"/>
  <c r="CG71" i="33"/>
  <c r="CG82" i="33" s="1"/>
  <c r="CJ68" i="33"/>
  <c r="CJ79" i="33" s="1"/>
  <c r="DM73" i="33"/>
  <c r="DM85" i="33" s="1"/>
  <c r="DX70" i="33"/>
  <c r="DX81" i="33" s="1"/>
  <c r="DJ68" i="33"/>
  <c r="DJ79" i="33" s="1"/>
  <c r="DM65" i="33"/>
  <c r="DM76" i="33" s="1"/>
  <c r="CU72" i="33"/>
  <c r="CU84" i="33" s="1"/>
  <c r="CG70" i="33"/>
  <c r="CG81" i="33" s="1"/>
  <c r="CJ67" i="33"/>
  <c r="CJ78" i="33" s="1"/>
  <c r="DM72" i="33"/>
  <c r="DM84" i="33" s="1"/>
  <c r="DX69" i="33"/>
  <c r="DX80" i="33" s="1"/>
  <c r="DJ67" i="33"/>
  <c r="DJ78" i="33" s="1"/>
  <c r="DM64" i="33"/>
  <c r="DM75" i="33" s="1"/>
  <c r="CU71" i="33"/>
  <c r="CU82" i="33" s="1"/>
  <c r="CG69" i="33"/>
  <c r="CG80" i="33" s="1"/>
  <c r="DS73" i="33"/>
  <c r="DS85" i="33" s="1"/>
  <c r="DV70" i="33"/>
  <c r="DV81" i="33" s="1"/>
  <c r="DH68" i="33"/>
  <c r="DH79" i="33" s="1"/>
  <c r="DS65" i="33"/>
  <c r="DS76" i="33" s="1"/>
  <c r="CS72" i="33"/>
  <c r="CS84" i="33" s="1"/>
  <c r="CE70" i="33"/>
  <c r="CE81" i="33" s="1"/>
  <c r="CP67" i="33"/>
  <c r="CP78" i="33" s="1"/>
  <c r="DE69" i="33"/>
  <c r="DE80" i="33" s="1"/>
  <c r="CE69" i="33"/>
  <c r="CE80" i="33" s="1"/>
  <c r="CB64" i="33"/>
  <c r="BG71" i="33"/>
  <c r="BG82" i="33" s="1"/>
  <c r="BO68" i="33"/>
  <c r="BO79" i="33" s="1"/>
  <c r="AY66" i="33"/>
  <c r="DR72" i="33"/>
  <c r="DR84" i="33" s="1"/>
  <c r="CQ72" i="33"/>
  <c r="CQ84" i="33" s="1"/>
  <c r="CH65" i="33"/>
  <c r="CH76" i="33" s="1"/>
  <c r="BF72" i="33"/>
  <c r="BF84" i="33" s="1"/>
  <c r="BN69" i="33"/>
  <c r="BN80" i="33" s="1"/>
  <c r="AX67" i="33"/>
  <c r="BF64" i="33"/>
  <c r="DQ65" i="33"/>
  <c r="DQ76" i="33" s="1"/>
  <c r="CF66" i="33"/>
  <c r="CF77" i="33" s="1"/>
  <c r="BE73" i="33"/>
  <c r="BE85" i="33" s="1"/>
  <c r="BM70" i="33"/>
  <c r="BM81" i="33" s="1"/>
  <c r="AW68" i="33"/>
  <c r="AW79" i="33" s="1"/>
  <c r="BE65" i="33"/>
  <c r="BE76" i="33" s="1"/>
  <c r="DV68" i="33"/>
  <c r="DV79" i="33" s="1"/>
  <c r="CV68" i="33"/>
  <c r="CV79" i="33" s="1"/>
  <c r="CO64" i="33"/>
  <c r="CO75" i="33" s="1"/>
  <c r="BL71" i="33"/>
  <c r="BL82" i="33" s="1"/>
  <c r="AV69" i="33"/>
  <c r="AV80" i="33" s="1"/>
  <c r="BD66" i="33"/>
  <c r="DI73" i="33"/>
  <c r="DI85" i="33" s="1"/>
  <c r="CB72" i="33"/>
  <c r="CB84" i="33" s="1"/>
  <c r="CE65" i="33"/>
  <c r="BK72" i="33"/>
  <c r="BK84" i="33" s="1"/>
  <c r="BS69" i="33"/>
  <c r="BS80" i="33" s="1"/>
  <c r="BC67" i="33"/>
  <c r="BK64" i="33"/>
  <c r="BK75" i="33" s="1"/>
  <c r="CH73" i="33"/>
  <c r="CH85" i="33" s="1"/>
  <c r="CL65" i="33"/>
  <c r="CL76" i="33" s="1"/>
  <c r="BR72" i="33"/>
  <c r="BR84" i="33" s="1"/>
  <c r="BB70" i="33"/>
  <c r="BB81" i="33" s="1"/>
  <c r="BJ67" i="33"/>
  <c r="BJ78" i="33" s="1"/>
  <c r="BR64" i="33"/>
  <c r="DF68" i="33"/>
  <c r="DF79" i="33" s="1"/>
  <c r="CF67" i="33"/>
  <c r="CF78" i="33" s="1"/>
  <c r="BP73" i="33"/>
  <c r="BP85" i="33" s="1"/>
  <c r="AZ71" i="33"/>
  <c r="AZ82" i="33" s="1"/>
  <c r="BH68" i="33"/>
  <c r="BH79" i="33" s="1"/>
  <c r="BP65" i="33"/>
  <c r="DP73" i="33"/>
  <c r="DP85" i="33" s="1"/>
  <c r="EA70" i="33"/>
  <c r="EA81" i="33" s="1"/>
  <c r="DE68" i="33"/>
  <c r="DE79" i="33" s="1"/>
  <c r="DP65" i="33"/>
  <c r="DP76" i="33" s="1"/>
  <c r="CX72" i="33"/>
  <c r="CX84" i="33" s="1"/>
  <c r="CB70" i="33"/>
  <c r="CB81" i="33" s="1"/>
  <c r="CM67" i="33"/>
  <c r="CM78" i="33" s="1"/>
  <c r="DP72" i="33"/>
  <c r="DP84" i="33" s="1"/>
  <c r="EA69" i="33"/>
  <c r="EA80" i="33" s="1"/>
  <c r="DE67" i="33"/>
  <c r="DE78" i="33" s="1"/>
  <c r="DP64" i="33"/>
  <c r="DP75" i="33" s="1"/>
  <c r="CX71" i="33"/>
  <c r="CX82" i="33" s="1"/>
  <c r="CB69" i="33"/>
  <c r="CB80" i="33" s="1"/>
  <c r="CM66" i="33"/>
  <c r="CM77" i="33" s="1"/>
  <c r="DP71" i="33"/>
  <c r="DP82" i="33" s="1"/>
  <c r="EA68" i="33"/>
  <c r="EA79" i="33" s="1"/>
  <c r="DE66" i="33"/>
  <c r="DE77" i="33" s="1"/>
  <c r="CM73" i="33"/>
  <c r="CM85" i="33" s="1"/>
  <c r="CX70" i="33"/>
  <c r="CX81" i="33" s="1"/>
  <c r="CB68" i="33"/>
  <c r="CB79" i="33" s="1"/>
  <c r="DE73" i="33"/>
  <c r="DE85" i="33" s="1"/>
  <c r="DP70" i="33"/>
  <c r="DP81" i="33" s="1"/>
  <c r="EA67" i="33"/>
  <c r="EA78" i="33" s="1"/>
  <c r="DE65" i="33"/>
  <c r="DE76" i="33" s="1"/>
  <c r="CM72" i="33"/>
  <c r="CM84" i="33" s="1"/>
  <c r="CX69" i="33"/>
  <c r="CX80" i="33" s="1"/>
  <c r="CB67" i="33"/>
  <c r="CB78" i="33" s="1"/>
  <c r="DE72" i="33"/>
  <c r="DE84" i="33" s="1"/>
  <c r="DP69" i="33"/>
  <c r="DP80" i="33" s="1"/>
  <c r="EA66" i="33"/>
  <c r="EA77" i="33" s="1"/>
  <c r="DE64" i="33"/>
  <c r="DE75" i="33" s="1"/>
  <c r="CM71" i="33"/>
  <c r="CM82" i="33" s="1"/>
  <c r="CX68" i="33"/>
  <c r="CX79" i="33" s="1"/>
  <c r="DK73" i="33"/>
  <c r="DK85" i="33" s="1"/>
  <c r="DN70" i="33"/>
  <c r="DN81" i="33" s="1"/>
  <c r="DY67" i="33"/>
  <c r="DY78" i="33" s="1"/>
  <c r="DK65" i="33"/>
  <c r="DK76" i="33" s="1"/>
  <c r="CK72" i="33"/>
  <c r="CK84" i="33" s="1"/>
  <c r="CV69" i="33"/>
  <c r="CV80" i="33" s="1"/>
  <c r="CH67" i="33"/>
  <c r="CH78" i="33" s="1"/>
  <c r="DY66" i="33"/>
  <c r="DY77" i="33" s="1"/>
  <c r="CE68" i="33"/>
  <c r="CE79" i="33" s="1"/>
  <c r="BO73" i="33"/>
  <c r="BO85" i="33" s="1"/>
  <c r="AY71" i="33"/>
  <c r="AY82" i="33" s="1"/>
  <c r="BG68" i="33"/>
  <c r="BG79" i="33" s="1"/>
  <c r="BO65" i="33"/>
  <c r="BO76" i="33" s="1"/>
  <c r="DL71" i="33"/>
  <c r="DL82" i="33" s="1"/>
  <c r="CJ71" i="33"/>
  <c r="CJ82" i="33" s="1"/>
  <c r="CY64" i="33"/>
  <c r="AX72" i="33"/>
  <c r="AX84" i="33" s="1"/>
  <c r="BF69" i="33"/>
  <c r="BF80" i="33" s="1"/>
  <c r="BN66" i="33"/>
  <c r="AX64" i="33"/>
  <c r="DK64" i="33"/>
  <c r="DK75" i="33" s="1"/>
  <c r="CW65" i="33"/>
  <c r="AW73" i="33"/>
  <c r="AW85" i="33" s="1"/>
  <c r="BE70" i="33"/>
  <c r="BE81" i="33" s="1"/>
  <c r="BM67" i="33"/>
  <c r="BM78" i="33" s="1"/>
  <c r="AW65" i="33"/>
  <c r="DP67" i="33"/>
  <c r="DP78" i="33" s="1"/>
  <c r="CV67" i="33"/>
  <c r="CV78" i="33" s="1"/>
  <c r="CG64" i="33"/>
  <c r="BD71" i="33"/>
  <c r="BD82" i="33" s="1"/>
  <c r="BL68" i="33"/>
  <c r="BL79" i="33" s="1"/>
  <c r="AV66" i="33"/>
  <c r="EB70" i="33"/>
  <c r="EB81" i="33" s="1"/>
  <c r="CU69" i="33"/>
  <c r="CU80" i="33" s="1"/>
  <c r="CV64" i="33"/>
  <c r="BC72" i="33"/>
  <c r="BC84" i="33" s="1"/>
  <c r="BK69" i="33"/>
  <c r="BK80" i="33" s="1"/>
  <c r="BS66" i="33"/>
  <c r="BC64" i="33"/>
  <c r="CT70" i="33"/>
  <c r="CT81" i="33" s="1"/>
  <c r="CD65" i="33"/>
  <c r="BJ72" i="33"/>
  <c r="BJ84" i="33" s="1"/>
  <c r="BR69" i="33"/>
  <c r="BR80" i="33" s="1"/>
  <c r="BB67" i="33"/>
  <c r="BJ64" i="33"/>
  <c r="BJ75" i="33" s="1"/>
  <c r="DZ65" i="33"/>
  <c r="DZ76" i="33" s="1"/>
  <c r="CI66" i="33"/>
  <c r="CI77" i="33" s="1"/>
  <c r="BH73" i="33"/>
  <c r="BH85" i="33" s="1"/>
  <c r="BP70" i="33"/>
  <c r="BP81" i="33" s="1"/>
  <c r="AZ68" i="33"/>
  <c r="AZ79" i="33" s="1"/>
  <c r="BH65" i="33"/>
  <c r="BH76" i="33" s="1"/>
  <c r="DH73" i="33"/>
  <c r="DH85" i="33" s="1"/>
  <c r="CP72" i="33"/>
  <c r="CP84" i="33" s="1"/>
  <c r="DS69" i="33"/>
  <c r="DS80" i="33" s="1"/>
  <c r="CS68" i="33"/>
  <c r="CS79" i="33" s="1"/>
  <c r="DV65" i="33"/>
  <c r="DV76" i="33" s="1"/>
  <c r="DV72" i="33"/>
  <c r="DV84" i="33" s="1"/>
  <c r="CE72" i="33"/>
  <c r="CE84" i="33" s="1"/>
  <c r="DH69" i="33"/>
  <c r="DH80" i="33" s="1"/>
  <c r="CP68" i="33"/>
  <c r="CP79" i="33" s="1"/>
  <c r="EB64" i="33"/>
  <c r="EB75" i="33" s="1"/>
  <c r="DY65" i="33"/>
  <c r="DY76" i="33" s="1"/>
  <c r="AY68" i="33"/>
  <c r="AY79" i="33" s="1"/>
  <c r="CQ64" i="33"/>
  <c r="CQ75" i="33" s="1"/>
  <c r="DQ73" i="33"/>
  <c r="DQ85" i="33" s="1"/>
  <c r="AW70" i="33"/>
  <c r="AW81" i="33" s="1"/>
  <c r="CR66" i="33"/>
  <c r="CR77" i="33" s="1"/>
  <c r="BL65" i="33"/>
  <c r="BL76" i="33" s="1"/>
  <c r="BS71" i="33"/>
  <c r="BS82" i="33" s="1"/>
  <c r="CT69" i="33"/>
  <c r="CT80" i="33" s="1"/>
  <c r="BR66" i="33"/>
  <c r="AZ73" i="33"/>
  <c r="AZ85" i="33" s="1"/>
  <c r="AZ64" i="33"/>
  <c r="BQ68" i="33"/>
  <c r="BQ79" i="33" s="1"/>
  <c r="BQ65" i="33"/>
  <c r="BI65" i="33"/>
  <c r="BI76" i="33" s="1"/>
  <c r="BI72" i="33"/>
  <c r="BI84" i="33" s="1"/>
  <c r="BI67" i="33"/>
  <c r="BI78" i="33" s="1"/>
  <c r="BA64" i="33"/>
  <c r="CV66" i="33"/>
  <c r="CV77" i="33" s="1"/>
  <c r="DK67" i="33"/>
  <c r="DK78" i="33" s="1"/>
  <c r="DW69" i="33"/>
  <c r="DW80" i="33" s="1"/>
  <c r="CG65" i="33"/>
  <c r="BC66" i="33"/>
  <c r="BI73" i="33"/>
  <c r="BI85" i="33" s="1"/>
  <c r="AV68" i="33"/>
  <c r="AV79" i="33" s="1"/>
  <c r="BI68" i="33"/>
  <c r="BI79" i="33" s="1"/>
  <c r="DY72" i="33"/>
  <c r="DY84" i="33" s="1"/>
  <c r="CH72" i="33"/>
  <c r="CH84" i="33" s="1"/>
  <c r="DK69" i="33"/>
  <c r="DK80" i="33" s="1"/>
  <c r="CK68" i="33"/>
  <c r="CK79" i="33" s="1"/>
  <c r="DN65" i="33"/>
  <c r="DN76" i="33" s="1"/>
  <c r="DN72" i="33"/>
  <c r="DN84" i="33" s="1"/>
  <c r="CV71" i="33"/>
  <c r="CV82" i="33" s="1"/>
  <c r="DY68" i="33"/>
  <c r="DY79" i="33" s="1"/>
  <c r="CH68" i="33"/>
  <c r="CH79" i="33" s="1"/>
  <c r="DT64" i="33"/>
  <c r="DT75" i="33" s="1"/>
  <c r="DS64" i="33"/>
  <c r="DS75" i="33" s="1"/>
  <c r="BO67" i="33"/>
  <c r="BO78" i="33" s="1"/>
  <c r="CI64" i="33"/>
  <c r="DK72" i="33"/>
  <c r="DK84" i="33" s="1"/>
  <c r="BM69" i="33"/>
  <c r="BM80" i="33" s="1"/>
  <c r="CE66" i="33"/>
  <c r="CE77" i="33" s="1"/>
  <c r="BD65" i="33"/>
  <c r="BK71" i="33"/>
  <c r="BK82" i="33" s="1"/>
  <c r="CN68" i="33"/>
  <c r="CN79" i="33" s="1"/>
  <c r="BJ66" i="33"/>
  <c r="BJ77" i="33" s="1"/>
  <c r="BP72" i="33"/>
  <c r="BP84" i="33" s="1"/>
  <c r="BQ71" i="33"/>
  <c r="BQ82" i="33" s="1"/>
  <c r="BA66" i="33"/>
  <c r="EA72" i="33"/>
  <c r="EA84" i="33" s="1"/>
  <c r="CM69" i="33"/>
  <c r="CM80" i="33" s="1"/>
  <c r="BQ69" i="33"/>
  <c r="BQ80" i="33" s="1"/>
  <c r="DT70" i="33"/>
  <c r="DT81" i="33" s="1"/>
  <c r="CH70" i="33"/>
  <c r="CH81" i="33" s="1"/>
  <c r="CF69" i="33"/>
  <c r="CF80" i="33" s="1"/>
  <c r="BE64" i="33"/>
  <c r="BR71" i="33"/>
  <c r="BR82" i="33" s="1"/>
  <c r="BQ73" i="33"/>
  <c r="BQ85" i="33" s="1"/>
  <c r="CS65" i="33"/>
  <c r="CS76" i="33" s="1"/>
  <c r="BE72" i="33"/>
  <c r="BE84" i="33" s="1"/>
  <c r="CJ65" i="33"/>
  <c r="CJ76" i="33" s="1"/>
  <c r="CK65" i="33"/>
  <c r="CK76" i="33" s="1"/>
  <c r="DS70" i="33"/>
  <c r="DS81" i="33" s="1"/>
  <c r="CS69" i="33"/>
  <c r="CS80" i="33" s="1"/>
  <c r="DV66" i="33"/>
  <c r="DV77" i="33" s="1"/>
  <c r="DV73" i="33"/>
  <c r="DV85" i="33" s="1"/>
  <c r="CE73" i="33"/>
  <c r="CE85" i="33" s="1"/>
  <c r="DH70" i="33"/>
  <c r="DH81" i="33" s="1"/>
  <c r="CP69" i="33"/>
  <c r="CP80" i="33" s="1"/>
  <c r="DS66" i="33"/>
  <c r="DS77" i="33" s="1"/>
  <c r="EB72" i="33"/>
  <c r="EB84" i="33" s="1"/>
  <c r="CC72" i="33"/>
  <c r="CC84" i="33" s="1"/>
  <c r="CH66" i="33"/>
  <c r="CH77" i="33" s="1"/>
  <c r="BG65" i="33"/>
  <c r="BG76" i="33" s="1"/>
  <c r="BN71" i="33"/>
  <c r="BN82" i="33" s="1"/>
  <c r="CQ73" i="33"/>
  <c r="CQ85" i="33" s="1"/>
  <c r="BE67" i="33"/>
  <c r="BL73" i="33"/>
  <c r="BL85" i="33" s="1"/>
  <c r="DU69" i="33"/>
  <c r="DU80" i="33" s="1"/>
  <c r="BC69" i="33"/>
  <c r="BC80" i="33" s="1"/>
  <c r="CU64" i="33"/>
  <c r="BB64" i="33"/>
  <c r="BH70" i="33"/>
  <c r="BH81" i="33" s="1"/>
  <c r="BA69" i="33"/>
  <c r="BA80" i="33" s="1"/>
  <c r="CS70" i="33"/>
  <c r="CS81" i="33" s="1"/>
  <c r="DG68" i="33"/>
  <c r="DG79" i="33" s="1"/>
  <c r="BA73" i="33"/>
  <c r="BA85" i="33" s="1"/>
  <c r="BA67" i="33"/>
  <c r="BQ66" i="33"/>
  <c r="CV73" i="33"/>
  <c r="CV85" i="33" s="1"/>
  <c r="BN68" i="33"/>
  <c r="BN79" i="33" s="1"/>
  <c r="CY72" i="33"/>
  <c r="CY84" i="33" s="1"/>
  <c r="BA70" i="33"/>
  <c r="BA81" i="33" s="1"/>
  <c r="AX66" i="33"/>
  <c r="BI71" i="33"/>
  <c r="BI82" i="33" s="1"/>
  <c r="DK70" i="33"/>
  <c r="DK81" i="33" s="1"/>
  <c r="CK69" i="33"/>
  <c r="CK80" i="33" s="1"/>
  <c r="DN66" i="33"/>
  <c r="DN77" i="33" s="1"/>
  <c r="DN73" i="33"/>
  <c r="DN85" i="33" s="1"/>
  <c r="CV72" i="33"/>
  <c r="CV84" i="33" s="1"/>
  <c r="DY69" i="33"/>
  <c r="DY80" i="33" s="1"/>
  <c r="CH69" i="33"/>
  <c r="CH80" i="33" s="1"/>
  <c r="DK66" i="33"/>
  <c r="DK77" i="33" s="1"/>
  <c r="DT72" i="33"/>
  <c r="DT84" i="33" s="1"/>
  <c r="CT71" i="33"/>
  <c r="CT82" i="33" s="1"/>
  <c r="CY65" i="33"/>
  <c r="AY65" i="33"/>
  <c r="BF71" i="33"/>
  <c r="BF82" i="33" s="1"/>
  <c r="CJ72" i="33"/>
  <c r="CJ84" i="33" s="1"/>
  <c r="AW67" i="33"/>
  <c r="BD73" i="33"/>
  <c r="BD85" i="33" s="1"/>
  <c r="DO68" i="33"/>
  <c r="DO79" i="33" s="1"/>
  <c r="BS68" i="33"/>
  <c r="BS79" i="33" s="1"/>
  <c r="CM64" i="33"/>
  <c r="DZ73" i="33"/>
  <c r="DZ85" i="33" s="1"/>
  <c r="AZ70" i="33"/>
  <c r="AZ81" i="33" s="1"/>
  <c r="BI66" i="33"/>
  <c r="BI77" i="33" s="1"/>
  <c r="CJ66" i="33"/>
  <c r="CJ77" i="33" s="1"/>
  <c r="CB66" i="33"/>
  <c r="CB77" i="33" s="1"/>
  <c r="BI70" i="33"/>
  <c r="BI81" i="33" s="1"/>
  <c r="BI64" i="33"/>
  <c r="BI75" i="33" s="1"/>
  <c r="BQ64" i="33"/>
  <c r="DY70" i="33"/>
  <c r="DY81" i="33" s="1"/>
  <c r="CK73" i="33"/>
  <c r="CK85" i="33" s="1"/>
  <c r="DX67" i="33"/>
  <c r="DX78" i="33" s="1"/>
  <c r="CO67" i="33"/>
  <c r="CO78" i="33" s="1"/>
  <c r="EA64" i="33"/>
  <c r="EA75" i="33" s="1"/>
  <c r="CD69" i="33"/>
  <c r="CD80" i="33" s="1"/>
  <c r="DU70" i="33"/>
  <c r="DU81" i="33" s="1"/>
  <c r="BI69" i="33"/>
  <c r="BI80" i="33" s="1"/>
  <c r="DV67" i="33"/>
  <c r="DV78" i="33" s="1"/>
  <c r="CE67" i="33"/>
  <c r="CE78" i="33" s="1"/>
  <c r="DH64" i="33"/>
  <c r="DH75" i="33" s="1"/>
  <c r="DH71" i="33"/>
  <c r="DH82" i="33" s="1"/>
  <c r="CP70" i="33"/>
  <c r="CP81" i="33" s="1"/>
  <c r="DS67" i="33"/>
  <c r="DS78" i="33" s="1"/>
  <c r="CS66" i="33"/>
  <c r="CS77" i="33" s="1"/>
  <c r="CS73" i="33"/>
  <c r="CS85" i="33" s="1"/>
  <c r="DF70" i="33"/>
  <c r="DF81" i="33" s="1"/>
  <c r="CN69" i="33"/>
  <c r="CN80" i="33" s="1"/>
  <c r="BG73" i="33"/>
  <c r="BG85" i="33" s="1"/>
  <c r="DE70" i="33"/>
  <c r="DE81" i="33" s="1"/>
  <c r="AX69" i="33"/>
  <c r="AX80" i="33" s="1"/>
  <c r="CO65" i="33"/>
  <c r="CO76" i="33" s="1"/>
  <c r="BM64" i="33"/>
  <c r="AV71" i="33"/>
  <c r="AV82" i="33" s="1"/>
  <c r="CU68" i="33"/>
  <c r="CU79" i="33" s="1"/>
  <c r="BK66" i="33"/>
  <c r="BB72" i="33"/>
  <c r="BB84" i="33" s="1"/>
  <c r="DZ64" i="33"/>
  <c r="DZ75" i="33" s="1"/>
  <c r="BP67" i="33"/>
  <c r="DM69" i="33"/>
  <c r="DM80" i="33" s="1"/>
  <c r="CL64" i="33"/>
  <c r="CD64" i="33"/>
  <c r="BQ67" i="33"/>
  <c r="CC65" i="33"/>
  <c r="DG67" i="33"/>
  <c r="DG78" i="33" s="1"/>
  <c r="DN67" i="33"/>
  <c r="DN78" i="33" s="1"/>
  <c r="CK66" i="33"/>
  <c r="CK77" i="33" s="1"/>
  <c r="AY73" i="33"/>
  <c r="AY85" i="33" s="1"/>
  <c r="BL70" i="33"/>
  <c r="BL81" i="33" s="1"/>
  <c r="BH67" i="33"/>
  <c r="BH78" i="33" s="1"/>
  <c r="BA65" i="33"/>
  <c r="CF64" i="33"/>
  <c r="BP64" i="33"/>
  <c r="BQ72" i="33"/>
  <c r="BQ84" i="33" s="1"/>
  <c r="DH65" i="33"/>
  <c r="DH76" i="33" s="1"/>
  <c r="DH72" i="33"/>
  <c r="DH84" i="33" s="1"/>
  <c r="CP71" i="33"/>
  <c r="CP82" i="33" s="1"/>
  <c r="DS68" i="33"/>
  <c r="DS79" i="33" s="1"/>
  <c r="CS67" i="33"/>
  <c r="CS78" i="33" s="1"/>
  <c r="DV64" i="33"/>
  <c r="DV75" i="33" s="1"/>
  <c r="DV71" i="33"/>
  <c r="DV82" i="33" s="1"/>
  <c r="CE71" i="33"/>
  <c r="CE82" i="33" s="1"/>
  <c r="DQ67" i="33"/>
  <c r="DQ78" i="33" s="1"/>
  <c r="CY66" i="33"/>
  <c r="CY77" i="33" s="1"/>
  <c r="BO70" i="33"/>
  <c r="BO81" i="33" s="1"/>
  <c r="CD70" i="33"/>
  <c r="CD81" i="33" s="1"/>
  <c r="BF66" i="33"/>
  <c r="BM72" i="33"/>
  <c r="BM84" i="33" s="1"/>
  <c r="DP66" i="33"/>
  <c r="DP77" i="33" s="1"/>
  <c r="BD68" i="33"/>
  <c r="BD79" i="33" s="1"/>
  <c r="CN64" i="33"/>
  <c r="CN75" i="33" s="1"/>
  <c r="EB71" i="33"/>
  <c r="EB82" i="33" s="1"/>
  <c r="BJ69" i="33"/>
  <c r="BJ80" i="33" s="1"/>
  <c r="CR65" i="33"/>
  <c r="CR76" i="33" s="1"/>
  <c r="AZ65" i="33"/>
  <c r="CT64" i="33"/>
  <c r="BA71" i="33"/>
  <c r="BA82" i="33" s="1"/>
  <c r="BQ70" i="33"/>
  <c r="BQ81" i="33" s="1"/>
  <c r="CM68" i="33"/>
  <c r="CM79" i="33" s="1"/>
  <c r="EA71" i="33"/>
  <c r="EA82" i="33" s="1"/>
  <c r="BA72" i="33"/>
  <c r="BA84" i="33" s="1"/>
  <c r="DY64" i="33"/>
  <c r="DY75" i="33" s="1"/>
  <c r="DY71" i="33"/>
  <c r="DY82" i="33" s="1"/>
  <c r="CH71" i="33"/>
  <c r="CH82" i="33" s="1"/>
  <c r="DK68" i="33"/>
  <c r="DK79" i="33" s="1"/>
  <c r="CK67" i="33"/>
  <c r="CK78" i="33" s="1"/>
  <c r="DN64" i="33"/>
  <c r="DN75" i="33" s="1"/>
  <c r="DN71" i="33"/>
  <c r="DN82" i="33" s="1"/>
  <c r="CV70" i="33"/>
  <c r="CV81" i="33" s="1"/>
  <c r="DI67" i="33"/>
  <c r="DI78" i="33" s="1"/>
  <c r="CQ66" i="33"/>
  <c r="CQ77" i="33" s="1"/>
  <c r="BG70" i="33"/>
  <c r="BG81" i="33" s="1"/>
  <c r="DJ65" i="33"/>
  <c r="DJ76" i="33" s="1"/>
  <c r="BB69" i="33"/>
  <c r="BB80" i="33" s="1"/>
  <c r="BA68" i="33"/>
  <c r="BA79" i="33" s="1"/>
  <c r="AG79" i="32"/>
  <c r="D171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P198" i="33" l="1"/>
  <c r="Q198" i="33" s="1"/>
  <c r="Q200" i="33" s="1"/>
  <c r="D202" i="33" s="1"/>
  <c r="I198" i="33"/>
  <c r="J198" i="33" s="1"/>
  <c r="AJ200" i="33"/>
  <c r="AK200" i="33" s="1"/>
  <c r="L209" i="33"/>
  <c r="AP198" i="33"/>
  <c r="AJ202" i="33"/>
  <c r="AK202" i="33" s="1"/>
  <c r="L211" i="33"/>
  <c r="L212" i="33" s="1"/>
  <c r="D264" i="33"/>
  <c r="D263" i="33"/>
  <c r="D268" i="33"/>
  <c r="D267" i="33"/>
  <c r="O260" i="33"/>
  <c r="CT151" i="33"/>
  <c r="CT75" i="33"/>
  <c r="BK153" i="33"/>
  <c r="BK160" i="33" s="1"/>
  <c r="BK161" i="33" s="1"/>
  <c r="BK162" i="33" s="1"/>
  <c r="BK77" i="33"/>
  <c r="CV129" i="33"/>
  <c r="CV175" i="33" s="1"/>
  <c r="CV140" i="33"/>
  <c r="BQ137" i="33"/>
  <c r="BQ126" i="33"/>
  <c r="BQ172" i="33" s="1"/>
  <c r="AZ151" i="33"/>
  <c r="AZ75" i="33"/>
  <c r="CD152" i="33"/>
  <c r="CD76" i="33"/>
  <c r="CX126" i="33"/>
  <c r="CX172" i="33" s="1"/>
  <c r="CX137" i="33"/>
  <c r="DQ133" i="33"/>
  <c r="DQ122" i="33"/>
  <c r="DQ168" i="33" s="1"/>
  <c r="CJ138" i="33"/>
  <c r="CJ127" i="33"/>
  <c r="CJ173" i="33" s="1"/>
  <c r="DE128" i="33"/>
  <c r="DE174" i="33" s="1"/>
  <c r="DE139" i="33"/>
  <c r="BS154" i="33"/>
  <c r="BS78" i="33"/>
  <c r="DZ136" i="33"/>
  <c r="DZ125" i="33"/>
  <c r="DZ171" i="33" s="1"/>
  <c r="BF141" i="33"/>
  <c r="BF130" i="33"/>
  <c r="BF176" i="33" s="1"/>
  <c r="DT136" i="33"/>
  <c r="DT125" i="33"/>
  <c r="DT171" i="33" s="1"/>
  <c r="BG135" i="33"/>
  <c r="BG124" i="33"/>
  <c r="BG170" i="33" s="1"/>
  <c r="CQ134" i="33"/>
  <c r="CQ123" i="33"/>
  <c r="CQ169" i="33" s="1"/>
  <c r="DY139" i="33"/>
  <c r="DY128" i="33"/>
  <c r="DY174" i="33" s="1"/>
  <c r="AZ152" i="33"/>
  <c r="AZ76" i="33"/>
  <c r="BF153" i="33"/>
  <c r="BF77" i="33"/>
  <c r="CS135" i="33"/>
  <c r="CS124" i="33"/>
  <c r="CS170" i="33" s="1"/>
  <c r="BA152" i="33"/>
  <c r="BA76" i="33"/>
  <c r="BQ154" i="33"/>
  <c r="BQ78" i="33"/>
  <c r="CU136" i="33"/>
  <c r="CU125" i="33"/>
  <c r="CU171" i="33" s="1"/>
  <c r="DF138" i="33"/>
  <c r="DF127" i="33"/>
  <c r="DF173" i="33" s="1"/>
  <c r="DV135" i="33"/>
  <c r="DV124" i="33"/>
  <c r="DV170" i="33" s="1"/>
  <c r="DY138" i="33"/>
  <c r="DY127" i="33"/>
  <c r="DY173" i="33" s="1"/>
  <c r="DZ141" i="33"/>
  <c r="DZ130" i="33"/>
  <c r="DZ176" i="33" s="1"/>
  <c r="AY152" i="33"/>
  <c r="AY76" i="33"/>
  <c r="DN130" i="33"/>
  <c r="DN176" i="33" s="1"/>
  <c r="DN141" i="33"/>
  <c r="BN136" i="33"/>
  <c r="BN125" i="33"/>
  <c r="BN171" i="33" s="1"/>
  <c r="BH138" i="33"/>
  <c r="BH127" i="33"/>
  <c r="BH173" i="33" s="1"/>
  <c r="BN128" i="33"/>
  <c r="BN174" i="33" s="1"/>
  <c r="BN139" i="33"/>
  <c r="CE130" i="33"/>
  <c r="CE176" i="33" s="1"/>
  <c r="CE141" i="33"/>
  <c r="CS133" i="33"/>
  <c r="CS122" i="33"/>
  <c r="CS168" i="33" s="1"/>
  <c r="CM137" i="33"/>
  <c r="CM126" i="33"/>
  <c r="CM172" i="33" s="1"/>
  <c r="BD152" i="33"/>
  <c r="BD76" i="33"/>
  <c r="CH136" i="33"/>
  <c r="CH125" i="33"/>
  <c r="CH171" i="33" s="1"/>
  <c r="DY140" i="33"/>
  <c r="DY129" i="33"/>
  <c r="DY175" i="33" s="1"/>
  <c r="CV123" i="33"/>
  <c r="CV169" i="33" s="1"/>
  <c r="CV134" i="33"/>
  <c r="AZ141" i="33"/>
  <c r="AZ130" i="33"/>
  <c r="AZ176" i="33" s="1"/>
  <c r="CQ132" i="33"/>
  <c r="CQ121" i="33"/>
  <c r="CQ167" i="33" s="1"/>
  <c r="DV122" i="33"/>
  <c r="DV168" i="33" s="1"/>
  <c r="DV133" i="33"/>
  <c r="BH141" i="33"/>
  <c r="BH130" i="33"/>
  <c r="BH176" i="33" s="1"/>
  <c r="CT138" i="33"/>
  <c r="CT127" i="33"/>
  <c r="CT173" i="33" s="1"/>
  <c r="AV153" i="33"/>
  <c r="AV77" i="33"/>
  <c r="BE127" i="33"/>
  <c r="BE173" i="33" s="1"/>
  <c r="BE138" i="33"/>
  <c r="CY151" i="33"/>
  <c r="CY75" i="33"/>
  <c r="DY134" i="33"/>
  <c r="DY123" i="33"/>
  <c r="DY169" i="33" s="1"/>
  <c r="CX125" i="33"/>
  <c r="CX171" i="33" s="1"/>
  <c r="CX136" i="33"/>
  <c r="CM140" i="33"/>
  <c r="CM129" i="33"/>
  <c r="CM175" i="33" s="1"/>
  <c r="DE134" i="33"/>
  <c r="DE123" i="33"/>
  <c r="DE169" i="33" s="1"/>
  <c r="EA126" i="33"/>
  <c r="EA172" i="33" s="1"/>
  <c r="EA137" i="33"/>
  <c r="DP130" i="33"/>
  <c r="DP176" i="33" s="1"/>
  <c r="DP141" i="33"/>
  <c r="BJ135" i="33"/>
  <c r="BJ124" i="33"/>
  <c r="BJ170" i="33" s="1"/>
  <c r="BK140" i="33"/>
  <c r="BK129" i="33"/>
  <c r="BK175" i="33" s="1"/>
  <c r="CV125" i="33"/>
  <c r="CV171" i="33" s="1"/>
  <c r="CV136" i="33"/>
  <c r="BF151" i="33"/>
  <c r="BF75" i="33"/>
  <c r="BO125" i="33"/>
  <c r="BO171" i="33" s="1"/>
  <c r="BO136" i="33"/>
  <c r="DS133" i="33"/>
  <c r="DS122" i="33"/>
  <c r="DS168" i="33" s="1"/>
  <c r="DX137" i="33"/>
  <c r="DX126" i="33"/>
  <c r="DX172" i="33" s="1"/>
  <c r="DM141" i="33"/>
  <c r="DM130" i="33"/>
  <c r="DM176" i="33" s="1"/>
  <c r="CJ126" i="33"/>
  <c r="CJ172" i="33" s="1"/>
  <c r="CJ137" i="33"/>
  <c r="CG141" i="33"/>
  <c r="CG130" i="33"/>
  <c r="CG176" i="33" s="1"/>
  <c r="BH128" i="33"/>
  <c r="BH174" i="33" s="1"/>
  <c r="BH139" i="33"/>
  <c r="CT133" i="33"/>
  <c r="CT122" i="33"/>
  <c r="CT168" i="33" s="1"/>
  <c r="AV151" i="33"/>
  <c r="AV75" i="33"/>
  <c r="BE125" i="33"/>
  <c r="BE171" i="33" s="1"/>
  <c r="BE136" i="33"/>
  <c r="BN129" i="33"/>
  <c r="BN175" i="33" s="1"/>
  <c r="BN140" i="33"/>
  <c r="CK138" i="33"/>
  <c r="CK127" i="33"/>
  <c r="CK173" i="33" s="1"/>
  <c r="EA130" i="33"/>
  <c r="EA176" i="33" s="1"/>
  <c r="EA141" i="33"/>
  <c r="CO138" i="33"/>
  <c r="CO127" i="33"/>
  <c r="CO173" i="33" s="1"/>
  <c r="DG121" i="33"/>
  <c r="DG167" i="33" s="1"/>
  <c r="DG132" i="33"/>
  <c r="DU135" i="33"/>
  <c r="DU124" i="33"/>
  <c r="DU170" i="33" s="1"/>
  <c r="DR139" i="33"/>
  <c r="DR128" i="33"/>
  <c r="DR174" i="33" s="1"/>
  <c r="BJ122" i="33"/>
  <c r="BJ168" i="33" s="1"/>
  <c r="BJ133" i="33"/>
  <c r="BK138" i="33"/>
  <c r="BK127" i="33"/>
  <c r="BK173" i="33" s="1"/>
  <c r="CF152" i="33"/>
  <c r="CF76" i="33"/>
  <c r="DW135" i="33"/>
  <c r="DW124" i="33"/>
  <c r="DW170" i="33" s="1"/>
  <c r="BO153" i="33"/>
  <c r="BO77" i="33"/>
  <c r="CJ141" i="33"/>
  <c r="CJ130" i="33"/>
  <c r="CJ176" i="33" s="1"/>
  <c r="DZ135" i="33"/>
  <c r="DZ124" i="33"/>
  <c r="DZ170" i="33" s="1"/>
  <c r="DO139" i="33"/>
  <c r="DO128" i="33"/>
  <c r="DO174" i="33" s="1"/>
  <c r="CL124" i="33"/>
  <c r="CL170" i="33" s="1"/>
  <c r="CL135" i="33"/>
  <c r="CI139" i="33"/>
  <c r="CI128" i="33"/>
  <c r="CI174" i="33" s="1"/>
  <c r="CS151" i="33"/>
  <c r="CS75" i="33"/>
  <c r="DN136" i="33"/>
  <c r="DN125" i="33"/>
  <c r="DN171" i="33" s="1"/>
  <c r="BD154" i="33"/>
  <c r="BD78" i="33"/>
  <c r="BM139" i="33"/>
  <c r="BM128" i="33"/>
  <c r="BM174" i="33" s="1"/>
  <c r="CG123" i="33"/>
  <c r="CG169" i="33" s="1"/>
  <c r="CG134" i="33"/>
  <c r="DS140" i="33"/>
  <c r="DS129" i="33"/>
  <c r="DS175" i="33" s="1"/>
  <c r="CF138" i="33"/>
  <c r="CF127" i="33"/>
  <c r="CF173" i="33" s="1"/>
  <c r="CT141" i="33"/>
  <c r="CT130" i="33"/>
  <c r="CT176" i="33" s="1"/>
  <c r="DT135" i="33"/>
  <c r="DT124" i="33"/>
  <c r="DT170" i="33" s="1"/>
  <c r="DI139" i="33"/>
  <c r="DI128" i="33"/>
  <c r="DI174" i="33" s="1"/>
  <c r="BH132" i="33"/>
  <c r="BH121" i="33"/>
  <c r="BH167" i="33" s="1"/>
  <c r="BR125" i="33"/>
  <c r="BR171" i="33" s="1"/>
  <c r="BR136" i="33"/>
  <c r="BS141" i="33"/>
  <c r="BS130" i="33"/>
  <c r="BS176" i="33" s="1"/>
  <c r="DJ132" i="33"/>
  <c r="DJ121" i="33"/>
  <c r="DJ167" i="33" s="1"/>
  <c r="BN133" i="33"/>
  <c r="BN122" i="33"/>
  <c r="BN168" i="33" s="1"/>
  <c r="AY138" i="33"/>
  <c r="AY127" i="33"/>
  <c r="AY173" i="33" s="1"/>
  <c r="DZ134" i="33"/>
  <c r="DZ123" i="33"/>
  <c r="DZ169" i="33" s="1"/>
  <c r="DF139" i="33"/>
  <c r="DF128" i="33"/>
  <c r="DF174" i="33" s="1"/>
  <c r="CC135" i="33"/>
  <c r="CC124" i="33"/>
  <c r="CC170" i="33" s="1"/>
  <c r="CY138" i="33"/>
  <c r="CY127" i="33"/>
  <c r="CY173" i="33" s="1"/>
  <c r="DQ132" i="33"/>
  <c r="DQ121" i="33"/>
  <c r="DQ167" i="33" s="1"/>
  <c r="L257" i="33"/>
  <c r="D266" i="33" s="1"/>
  <c r="DV121" i="33"/>
  <c r="DV167" i="33" s="1"/>
  <c r="DV132" i="33"/>
  <c r="AZ138" i="33"/>
  <c r="AZ127" i="33"/>
  <c r="AZ173" i="33" s="1"/>
  <c r="DH138" i="33"/>
  <c r="DH127" i="33"/>
  <c r="DH173" i="33" s="1"/>
  <c r="DQ141" i="33"/>
  <c r="DQ130" i="33"/>
  <c r="DQ176" i="33" s="1"/>
  <c r="AX140" i="33"/>
  <c r="AX129" i="33"/>
  <c r="AX175" i="33" s="1"/>
  <c r="BS126" i="33"/>
  <c r="BS172" i="33" s="1"/>
  <c r="BS137" i="33"/>
  <c r="DX127" i="33"/>
  <c r="DX173" i="33" s="1"/>
  <c r="DX138" i="33"/>
  <c r="BB141" i="33"/>
  <c r="BB130" i="33"/>
  <c r="BB176" i="33" s="1"/>
  <c r="CJ151" i="33"/>
  <c r="CJ75" i="33"/>
  <c r="BD129" i="33"/>
  <c r="BD175" i="33" s="1"/>
  <c r="BD140" i="33"/>
  <c r="CL136" i="33"/>
  <c r="CL125" i="33"/>
  <c r="CL171" i="33" s="1"/>
  <c r="CR140" i="33"/>
  <c r="CR129" i="33"/>
  <c r="CR175" i="33" s="1"/>
  <c r="BB153" i="33"/>
  <c r="BB77" i="33"/>
  <c r="DI124" i="33"/>
  <c r="DI170" i="33" s="1"/>
  <c r="DI135" i="33"/>
  <c r="DY121" i="33"/>
  <c r="DY167" i="33" s="1"/>
  <c r="DY132" i="33"/>
  <c r="CR133" i="33"/>
  <c r="CR122" i="33"/>
  <c r="CR168" i="33" s="1"/>
  <c r="CD138" i="33"/>
  <c r="CD127" i="33"/>
  <c r="CD173" i="33" s="1"/>
  <c r="DS125" i="33"/>
  <c r="DS171" i="33" s="1"/>
  <c r="DS136" i="33"/>
  <c r="BH135" i="33"/>
  <c r="BH124" i="33"/>
  <c r="BH170" i="33" s="1"/>
  <c r="CD151" i="33"/>
  <c r="CD75" i="33"/>
  <c r="AV139" i="33"/>
  <c r="AV128" i="33"/>
  <c r="AV174" i="33" s="1"/>
  <c r="CS141" i="33"/>
  <c r="CS130" i="33"/>
  <c r="CS176" i="33" s="1"/>
  <c r="BI137" i="33"/>
  <c r="BI126" i="33"/>
  <c r="BI172" i="33" s="1"/>
  <c r="BQ151" i="33"/>
  <c r="BQ75" i="33"/>
  <c r="CM151" i="33"/>
  <c r="CM75" i="33"/>
  <c r="CY152" i="33"/>
  <c r="CY76" i="33"/>
  <c r="DN134" i="33"/>
  <c r="DN123" i="33"/>
  <c r="DN169" i="33" s="1"/>
  <c r="CV130" i="33"/>
  <c r="CV176" i="33" s="1"/>
  <c r="CV141" i="33"/>
  <c r="BB151" i="33"/>
  <c r="BB75" i="33"/>
  <c r="BG133" i="33"/>
  <c r="BG122" i="33"/>
  <c r="BG168" i="33" s="1"/>
  <c r="DV141" i="33"/>
  <c r="DV130" i="33"/>
  <c r="DV176" i="33" s="1"/>
  <c r="BQ130" i="33"/>
  <c r="BQ176" i="33" s="1"/>
  <c r="BQ141" i="33"/>
  <c r="EA129" i="33"/>
  <c r="EA175" i="33" s="1"/>
  <c r="EA140" i="33"/>
  <c r="CE134" i="33"/>
  <c r="CE123" i="33"/>
  <c r="CE169" i="33" s="1"/>
  <c r="DY136" i="33"/>
  <c r="DY125" i="33"/>
  <c r="DY171" i="33" s="1"/>
  <c r="BI136" i="33"/>
  <c r="BI125" i="33"/>
  <c r="BI171" i="33" s="1"/>
  <c r="BA151" i="33"/>
  <c r="BA75" i="33"/>
  <c r="BR153" i="33"/>
  <c r="BR77" i="33"/>
  <c r="AY136" i="33"/>
  <c r="AY125" i="33"/>
  <c r="AY171" i="33" s="1"/>
  <c r="CS136" i="33"/>
  <c r="CS125" i="33"/>
  <c r="CS171" i="33" s="1"/>
  <c r="CI123" i="33"/>
  <c r="CI169" i="33" s="1"/>
  <c r="CI134" i="33"/>
  <c r="BC151" i="33"/>
  <c r="BC75" i="33"/>
  <c r="BL136" i="33"/>
  <c r="BL125" i="33"/>
  <c r="BL171" i="33" s="1"/>
  <c r="AW130" i="33"/>
  <c r="AW176" i="33" s="1"/>
  <c r="AW141" i="33"/>
  <c r="CJ139" i="33"/>
  <c r="CJ128" i="33"/>
  <c r="CJ174" i="33" s="1"/>
  <c r="CH135" i="33"/>
  <c r="CH124" i="33"/>
  <c r="CH170" i="33" s="1"/>
  <c r="CM139" i="33"/>
  <c r="CM128" i="33"/>
  <c r="CM174" i="33" s="1"/>
  <c r="DE133" i="33"/>
  <c r="DE122" i="33"/>
  <c r="DE168" i="33" s="1"/>
  <c r="EA136" i="33"/>
  <c r="EA125" i="33"/>
  <c r="EA171" i="33" s="1"/>
  <c r="DP129" i="33"/>
  <c r="DP175" i="33" s="1"/>
  <c r="DP140" i="33"/>
  <c r="BP152" i="33"/>
  <c r="BP76" i="33"/>
  <c r="BB138" i="33"/>
  <c r="BB127" i="33"/>
  <c r="BB173" i="33" s="1"/>
  <c r="CE152" i="33"/>
  <c r="CE76" i="33"/>
  <c r="DV125" i="33"/>
  <c r="DV171" i="33" s="1"/>
  <c r="DV136" i="33"/>
  <c r="AX154" i="33"/>
  <c r="AX78" i="33"/>
  <c r="BG139" i="33"/>
  <c r="BG128" i="33"/>
  <c r="BG174" i="33" s="1"/>
  <c r="DH136" i="33"/>
  <c r="DH125" i="33"/>
  <c r="DH171" i="33" s="1"/>
  <c r="DM140" i="33"/>
  <c r="DM129" i="33"/>
  <c r="DM175" i="33" s="1"/>
  <c r="CJ136" i="33"/>
  <c r="CJ125" i="33"/>
  <c r="CJ171" i="33" s="1"/>
  <c r="CG140" i="33"/>
  <c r="CG129" i="33"/>
  <c r="CG175" i="33" s="1"/>
  <c r="DX122" i="33"/>
  <c r="DX168" i="33" s="1"/>
  <c r="DX133" i="33"/>
  <c r="CC151" i="33"/>
  <c r="CC75" i="33"/>
  <c r="DH134" i="33"/>
  <c r="DH123" i="33"/>
  <c r="DH169" i="33" s="1"/>
  <c r="BL153" i="33"/>
  <c r="BL160" i="33" s="1"/>
  <c r="BL161" i="33" s="1"/>
  <c r="BL162" i="33" s="1"/>
  <c r="BL77" i="33"/>
  <c r="AW139" i="33"/>
  <c r="AW128" i="33"/>
  <c r="AW174" i="33" s="1"/>
  <c r="CP133" i="33"/>
  <c r="CP122" i="33"/>
  <c r="CP168" i="33" s="1"/>
  <c r="DL138" i="33"/>
  <c r="DL127" i="33"/>
  <c r="DL173" i="33" s="1"/>
  <c r="CO137" i="33"/>
  <c r="CO126" i="33"/>
  <c r="CO172" i="33" s="1"/>
  <c r="CD141" i="33"/>
  <c r="CD130" i="33"/>
  <c r="CD176" i="33" s="1"/>
  <c r="DU134" i="33"/>
  <c r="DU123" i="33"/>
  <c r="DU169" i="33" s="1"/>
  <c r="DR138" i="33"/>
  <c r="DR127" i="33"/>
  <c r="DR173" i="33" s="1"/>
  <c r="CS139" i="33"/>
  <c r="CS128" i="33"/>
  <c r="CS174" i="33" s="1"/>
  <c r="BB136" i="33"/>
  <c r="BB125" i="33"/>
  <c r="BB171" i="33" s="1"/>
  <c r="BC141" i="33"/>
  <c r="BC130" i="33"/>
  <c r="BC176" i="33" s="1"/>
  <c r="CI140" i="33"/>
  <c r="CI129" i="33"/>
  <c r="CI175" i="33" s="1"/>
  <c r="AX152" i="33"/>
  <c r="AX76" i="33"/>
  <c r="BG137" i="33"/>
  <c r="BG126" i="33"/>
  <c r="BG172" i="33" s="1"/>
  <c r="DJ134" i="33"/>
  <c r="DJ123" i="33"/>
  <c r="DJ169" i="33" s="1"/>
  <c r="DO127" i="33"/>
  <c r="DO173" i="33" s="1"/>
  <c r="DO138" i="33"/>
  <c r="CL134" i="33"/>
  <c r="CL123" i="33"/>
  <c r="CL169" i="33" s="1"/>
  <c r="CI138" i="33"/>
  <c r="CI127" i="33"/>
  <c r="CI173" i="33" s="1"/>
  <c r="CW130" i="33"/>
  <c r="CW176" i="33" s="1"/>
  <c r="CW141" i="33"/>
  <c r="CL138" i="33"/>
  <c r="CL127" i="33"/>
  <c r="CL173" i="33" s="1"/>
  <c r="BK133" i="33"/>
  <c r="BK122" i="33"/>
  <c r="BK168" i="33" s="1"/>
  <c r="AV138" i="33"/>
  <c r="AV127" i="33"/>
  <c r="AV173" i="33" s="1"/>
  <c r="CP132" i="33"/>
  <c r="CP121" i="33"/>
  <c r="CP167" i="33" s="1"/>
  <c r="DR122" i="33"/>
  <c r="DR168" i="33" s="1"/>
  <c r="DR133" i="33"/>
  <c r="CO136" i="33"/>
  <c r="CO125" i="33"/>
  <c r="CO171" i="33" s="1"/>
  <c r="CT140" i="33"/>
  <c r="CT129" i="33"/>
  <c r="CT175" i="33" s="1"/>
  <c r="DT123" i="33"/>
  <c r="DT169" i="33" s="1"/>
  <c r="DT134" i="33"/>
  <c r="DI138" i="33"/>
  <c r="DI127" i="33"/>
  <c r="DI173" i="33" s="1"/>
  <c r="DW141" i="33"/>
  <c r="DW130" i="33"/>
  <c r="DW176" i="33" s="1"/>
  <c r="AZ154" i="33"/>
  <c r="AZ78" i="33"/>
  <c r="BJ139" i="33"/>
  <c r="BJ128" i="33"/>
  <c r="BJ174" i="33" s="1"/>
  <c r="CP134" i="33"/>
  <c r="CP123" i="33"/>
  <c r="CP169" i="33" s="1"/>
  <c r="AW151" i="33"/>
  <c r="AW75" i="33"/>
  <c r="BF136" i="33"/>
  <c r="BF125" i="33"/>
  <c r="BF171" i="33" s="1"/>
  <c r="BO140" i="33"/>
  <c r="BO129" i="33"/>
  <c r="BO175" i="33" s="1"/>
  <c r="DO137" i="33"/>
  <c r="DO126" i="33"/>
  <c r="DO172" i="33" s="1"/>
  <c r="EB130" i="33"/>
  <c r="EB176" i="33" s="1"/>
  <c r="EB141" i="33"/>
  <c r="CY137" i="33"/>
  <c r="CY126" i="33"/>
  <c r="CY172" i="33" s="1"/>
  <c r="CN130" i="33"/>
  <c r="CN176" i="33" s="1"/>
  <c r="CN141" i="33"/>
  <c r="DF124" i="33"/>
  <c r="DF170" i="33" s="1"/>
  <c r="DF135" i="33"/>
  <c r="CH139" i="33"/>
  <c r="CH128" i="33"/>
  <c r="CH174" i="33" s="1"/>
  <c r="CE135" i="33"/>
  <c r="CE124" i="33"/>
  <c r="CE170" i="33" s="1"/>
  <c r="BA137" i="33"/>
  <c r="BA126" i="33"/>
  <c r="BA172" i="33" s="1"/>
  <c r="CH140" i="33"/>
  <c r="CH129" i="33"/>
  <c r="CH175" i="33" s="1"/>
  <c r="EB138" i="33"/>
  <c r="EB127" i="33"/>
  <c r="EB173" i="33" s="1"/>
  <c r="CM141" i="33"/>
  <c r="CM130" i="33"/>
  <c r="CM176" i="33" s="1"/>
  <c r="CS129" i="33"/>
  <c r="CS175" i="33" s="1"/>
  <c r="CS140" i="33"/>
  <c r="CI130" i="33"/>
  <c r="CI176" i="33" s="1"/>
  <c r="CI141" i="33"/>
  <c r="CR135" i="33"/>
  <c r="CR124" i="33"/>
  <c r="CR170" i="33" s="1"/>
  <c r="CW135" i="33"/>
  <c r="CW124" i="33"/>
  <c r="CW170" i="33" s="1"/>
  <c r="CO134" i="33"/>
  <c r="CO123" i="33"/>
  <c r="CO169" i="33" s="1"/>
  <c r="CQ135" i="33"/>
  <c r="CQ124" i="33"/>
  <c r="CQ170" i="33" s="1"/>
  <c r="DK128" i="33"/>
  <c r="DK174" i="33" s="1"/>
  <c r="DK139" i="33"/>
  <c r="L256" i="33"/>
  <c r="D265" i="33" s="1"/>
  <c r="BA129" i="33"/>
  <c r="BA175" i="33" s="1"/>
  <c r="BA140" i="33"/>
  <c r="BO138" i="33"/>
  <c r="BO127" i="33"/>
  <c r="BO173" i="33" s="1"/>
  <c r="BL138" i="33"/>
  <c r="BL127" i="33"/>
  <c r="BL173" i="33" s="1"/>
  <c r="CL151" i="33"/>
  <c r="CL75" i="33"/>
  <c r="CS134" i="33"/>
  <c r="CS123" i="33"/>
  <c r="CS169" i="33" s="1"/>
  <c r="DU127" i="33"/>
  <c r="DU173" i="33" s="1"/>
  <c r="DU138" i="33"/>
  <c r="BI121" i="33"/>
  <c r="BI167" i="33" s="1"/>
  <c r="BI132" i="33"/>
  <c r="BS136" i="33"/>
  <c r="BS125" i="33"/>
  <c r="BS171" i="33" s="1"/>
  <c r="CT139" i="33"/>
  <c r="CT128" i="33"/>
  <c r="CT174" i="33" s="1"/>
  <c r="CK126" i="33"/>
  <c r="CK172" i="33" s="1"/>
  <c r="CK137" i="33"/>
  <c r="BQ153" i="33"/>
  <c r="BQ77" i="33"/>
  <c r="CU151" i="33"/>
  <c r="CU75" i="33"/>
  <c r="CH134" i="33"/>
  <c r="CH123" i="33"/>
  <c r="CH169" i="33" s="1"/>
  <c r="DV134" i="33"/>
  <c r="DV123" i="33"/>
  <c r="DV169" i="33" s="1"/>
  <c r="BR128" i="33"/>
  <c r="BR174" i="33" s="1"/>
  <c r="BR139" i="33"/>
  <c r="BA153" i="33"/>
  <c r="BA77" i="33"/>
  <c r="BM137" i="33"/>
  <c r="BM126" i="33"/>
  <c r="BM172" i="33" s="1"/>
  <c r="CV139" i="33"/>
  <c r="CV128" i="33"/>
  <c r="CV174" i="33" s="1"/>
  <c r="AV136" i="33"/>
  <c r="AV125" i="33"/>
  <c r="AV171" i="33" s="1"/>
  <c r="BI135" i="33"/>
  <c r="BI124" i="33"/>
  <c r="BI170" i="33" s="1"/>
  <c r="CT137" i="33"/>
  <c r="CT126" i="33"/>
  <c r="CT172" i="33" s="1"/>
  <c r="DY122" i="33"/>
  <c r="DY168" i="33" s="1"/>
  <c r="DY133" i="33"/>
  <c r="DS137" i="33"/>
  <c r="DS126" i="33"/>
  <c r="DS172" i="33" s="1"/>
  <c r="DZ122" i="33"/>
  <c r="DZ168" i="33" s="1"/>
  <c r="DZ133" i="33"/>
  <c r="BS153" i="33"/>
  <c r="BS77" i="33"/>
  <c r="BD139" i="33"/>
  <c r="BD128" i="33"/>
  <c r="BD174" i="33" s="1"/>
  <c r="CW152" i="33"/>
  <c r="CW76" i="33"/>
  <c r="DL139" i="33"/>
  <c r="DL128" i="33"/>
  <c r="DL174" i="33" s="1"/>
  <c r="CV137" i="33"/>
  <c r="CV126" i="33"/>
  <c r="CV172" i="33" s="1"/>
  <c r="DE121" i="33"/>
  <c r="DE167" i="33" s="1"/>
  <c r="DE132" i="33"/>
  <c r="EA135" i="33"/>
  <c r="EA124" i="33"/>
  <c r="EA170" i="33" s="1"/>
  <c r="DP139" i="33"/>
  <c r="DP128" i="33"/>
  <c r="DP174" i="33" s="1"/>
  <c r="CM135" i="33"/>
  <c r="CM124" i="33"/>
  <c r="CM170" i="33" s="1"/>
  <c r="BH136" i="33"/>
  <c r="BH125" i="33"/>
  <c r="BH171" i="33" s="1"/>
  <c r="BR129" i="33"/>
  <c r="BR175" i="33" s="1"/>
  <c r="BR140" i="33"/>
  <c r="CB140" i="33"/>
  <c r="CB129" i="33"/>
  <c r="CB175" i="33" s="1"/>
  <c r="BE133" i="33"/>
  <c r="BE122" i="33"/>
  <c r="BE168" i="33" s="1"/>
  <c r="BN137" i="33"/>
  <c r="BN126" i="33"/>
  <c r="BN172" i="33" s="1"/>
  <c r="CB151" i="33"/>
  <c r="CB75" i="33"/>
  <c r="DV138" i="33"/>
  <c r="DV127" i="33"/>
  <c r="DV173" i="33" s="1"/>
  <c r="CJ135" i="33"/>
  <c r="CJ124" i="33"/>
  <c r="CJ170" i="33" s="1"/>
  <c r="CG139" i="33"/>
  <c r="CG128" i="33"/>
  <c r="CG174" i="33" s="1"/>
  <c r="DX132" i="33"/>
  <c r="DX121" i="33"/>
  <c r="DX167" i="33" s="1"/>
  <c r="DM136" i="33"/>
  <c r="DM125" i="33"/>
  <c r="DM171" i="33" s="1"/>
  <c r="CF136" i="33"/>
  <c r="CF125" i="33"/>
  <c r="CF171" i="33" s="1"/>
  <c r="BS151" i="33"/>
  <c r="BS75" i="33"/>
  <c r="BD137" i="33"/>
  <c r="BD126" i="33"/>
  <c r="BD172" i="33" s="1"/>
  <c r="BM130" i="33"/>
  <c r="BM176" i="33" s="1"/>
  <c r="BM141" i="33"/>
  <c r="CX141" i="33"/>
  <c r="CX130" i="33"/>
  <c r="CX176" i="33" s="1"/>
  <c r="CX135" i="33"/>
  <c r="CX124" i="33"/>
  <c r="CX170" i="33" s="1"/>
  <c r="CD140" i="33"/>
  <c r="CD129" i="33"/>
  <c r="CD175" i="33" s="1"/>
  <c r="DU133" i="33"/>
  <c r="DU122" i="33"/>
  <c r="DU168" i="33" s="1"/>
  <c r="DR126" i="33"/>
  <c r="DR172" i="33" s="1"/>
  <c r="DR137" i="33"/>
  <c r="DG141" i="33"/>
  <c r="DG130" i="33"/>
  <c r="DG176" i="33" s="1"/>
  <c r="BH134" i="33"/>
  <c r="BH123" i="33"/>
  <c r="BH169" i="33" s="1"/>
  <c r="BR138" i="33"/>
  <c r="BR127" i="33"/>
  <c r="BR173" i="33" s="1"/>
  <c r="CU133" i="33"/>
  <c r="CU122" i="33"/>
  <c r="CU168" i="33" s="1"/>
  <c r="DJ140" i="33"/>
  <c r="DJ129" i="33"/>
  <c r="DJ175" i="33" s="1"/>
  <c r="BN135" i="33"/>
  <c r="BN124" i="33"/>
  <c r="BN170" i="33" s="1"/>
  <c r="AY140" i="33"/>
  <c r="AY129" i="33"/>
  <c r="AY175" i="33" s="1"/>
  <c r="DX136" i="33"/>
  <c r="DX125" i="33"/>
  <c r="DX171" i="33" s="1"/>
  <c r="DL130" i="33"/>
  <c r="DL176" i="33" s="1"/>
  <c r="DL141" i="33"/>
  <c r="CI137" i="33"/>
  <c r="CI126" i="33"/>
  <c r="CI172" i="33" s="1"/>
  <c r="CW129" i="33"/>
  <c r="CW175" i="33" s="1"/>
  <c r="CW140" i="33"/>
  <c r="DO123" i="33"/>
  <c r="DO169" i="33" s="1"/>
  <c r="DO134" i="33"/>
  <c r="DT139" i="33"/>
  <c r="DT128" i="33"/>
  <c r="DT174" i="33" s="1"/>
  <c r="BC136" i="33"/>
  <c r="BC125" i="33"/>
  <c r="BC171" i="33" s="1"/>
  <c r="BL140" i="33"/>
  <c r="BL129" i="33"/>
  <c r="BL175" i="33" s="1"/>
  <c r="CC127" i="33"/>
  <c r="CC173" i="33" s="1"/>
  <c r="CC138" i="33"/>
  <c r="BG121" i="33"/>
  <c r="BG167" i="33" s="1"/>
  <c r="BG132" i="33"/>
  <c r="CD139" i="33"/>
  <c r="CD128" i="33"/>
  <c r="CD174" i="33" s="1"/>
  <c r="DT133" i="33"/>
  <c r="DT122" i="33"/>
  <c r="DT168" i="33" s="1"/>
  <c r="DI137" i="33"/>
  <c r="DI126" i="33"/>
  <c r="DI172" i="33" s="1"/>
  <c r="DW140" i="33"/>
  <c r="DW129" i="33"/>
  <c r="DW175" i="33" s="1"/>
  <c r="CT136" i="33"/>
  <c r="CT125" i="33"/>
  <c r="CT171" i="33" s="1"/>
  <c r="BP137" i="33"/>
  <c r="BP126" i="33"/>
  <c r="BP172" i="33" s="1"/>
  <c r="CE151" i="33"/>
  <c r="CE75" i="33"/>
  <c r="DO135" i="33"/>
  <c r="DO124" i="33"/>
  <c r="DO170" i="33" s="1"/>
  <c r="BM153" i="33"/>
  <c r="BM77" i="33"/>
  <c r="AX139" i="33"/>
  <c r="AX128" i="33"/>
  <c r="AX174" i="33" s="1"/>
  <c r="CQ133" i="33"/>
  <c r="CQ122" i="33"/>
  <c r="CQ168" i="33" s="1"/>
  <c r="DL129" i="33"/>
  <c r="DL175" i="33" s="1"/>
  <c r="DL140" i="33"/>
  <c r="CY136" i="33"/>
  <c r="CY125" i="33"/>
  <c r="CY171" i="33" s="1"/>
  <c r="CN129" i="33"/>
  <c r="CN175" i="33" s="1"/>
  <c r="CN140" i="33"/>
  <c r="DF134" i="33"/>
  <c r="DF123" i="33"/>
  <c r="DF169" i="33" s="1"/>
  <c r="EB137" i="33"/>
  <c r="EB126" i="33"/>
  <c r="EB172" i="33" s="1"/>
  <c r="BG138" i="33"/>
  <c r="BG127" i="33"/>
  <c r="BG173" i="33" s="1"/>
  <c r="CN137" i="33"/>
  <c r="CN126" i="33"/>
  <c r="CN172" i="33" s="1"/>
  <c r="CY140" i="33"/>
  <c r="CY129" i="33"/>
  <c r="CY175" i="33" s="1"/>
  <c r="DT132" i="33"/>
  <c r="DT121" i="33"/>
  <c r="DT167" i="33" s="1"/>
  <c r="BP138" i="33"/>
  <c r="BP127" i="33"/>
  <c r="BP173" i="33" s="1"/>
  <c r="DK130" i="33"/>
  <c r="DK176" i="33" s="1"/>
  <c r="DK141" i="33"/>
  <c r="CO132" i="33"/>
  <c r="CO121" i="33"/>
  <c r="CO167" i="33" s="1"/>
  <c r="CU134" i="33"/>
  <c r="CU123" i="33"/>
  <c r="CU169" i="33" s="1"/>
  <c r="AX138" i="33"/>
  <c r="AX127" i="33"/>
  <c r="AX173" i="33" s="1"/>
  <c r="DM127" i="33"/>
  <c r="DM173" i="33" s="1"/>
  <c r="DM138" i="33"/>
  <c r="DL133" i="33"/>
  <c r="DL122" i="33"/>
  <c r="DL168" i="33" s="1"/>
  <c r="BL132" i="33"/>
  <c r="BL121" i="33"/>
  <c r="BL167" i="33" s="1"/>
  <c r="DW121" i="33"/>
  <c r="DW167" i="33" s="1"/>
  <c r="DW132" i="33"/>
  <c r="CV133" i="33"/>
  <c r="CV122" i="33"/>
  <c r="CV168" i="33" s="1"/>
  <c r="DL132" i="33"/>
  <c r="DL121" i="33"/>
  <c r="DL167" i="33" s="1"/>
  <c r="DQ136" i="33"/>
  <c r="DQ125" i="33"/>
  <c r="DQ171" i="33" s="1"/>
  <c r="CV138" i="33"/>
  <c r="CV127" i="33"/>
  <c r="CV173" i="33" s="1"/>
  <c r="BJ137" i="33"/>
  <c r="BJ126" i="33"/>
  <c r="BJ172" i="33" s="1"/>
  <c r="CP139" i="33"/>
  <c r="CP128" i="33"/>
  <c r="CP174" i="33" s="1"/>
  <c r="BM151" i="33"/>
  <c r="BM75" i="33"/>
  <c r="DN139" i="33"/>
  <c r="DN128" i="33"/>
  <c r="DN174" i="33" s="1"/>
  <c r="EA128" i="33"/>
  <c r="EA174" i="33" s="1"/>
  <c r="EA139" i="33"/>
  <c r="EB139" i="33"/>
  <c r="EB128" i="33"/>
  <c r="EB174" i="33" s="1"/>
  <c r="CY123" i="33"/>
  <c r="CY169" i="33" s="1"/>
  <c r="CY134" i="33"/>
  <c r="DH140" i="33"/>
  <c r="DH129" i="33"/>
  <c r="DH175" i="33" s="1"/>
  <c r="AY141" i="33"/>
  <c r="AY130" i="33"/>
  <c r="AY176" i="33" s="1"/>
  <c r="DM137" i="33"/>
  <c r="DM126" i="33"/>
  <c r="DM172" i="33" s="1"/>
  <c r="CO122" i="33"/>
  <c r="CO168" i="33" s="1"/>
  <c r="CO133" i="33"/>
  <c r="DS135" i="33"/>
  <c r="DS124" i="33"/>
  <c r="DS170" i="33" s="1"/>
  <c r="CD137" i="33"/>
  <c r="CD126" i="33"/>
  <c r="CD172" i="33" s="1"/>
  <c r="BI127" i="33"/>
  <c r="BI173" i="33" s="1"/>
  <c r="BI138" i="33"/>
  <c r="DO136" i="33"/>
  <c r="DO125" i="33"/>
  <c r="DO171" i="33" s="1"/>
  <c r="DT140" i="33"/>
  <c r="DT129" i="33"/>
  <c r="DT175" i="33" s="1"/>
  <c r="DK138" i="33"/>
  <c r="DK127" i="33"/>
  <c r="DK173" i="33" s="1"/>
  <c r="BA154" i="33"/>
  <c r="BA78" i="33"/>
  <c r="BC137" i="33"/>
  <c r="BC126" i="33"/>
  <c r="BC172" i="33" s="1"/>
  <c r="CC129" i="33"/>
  <c r="CC175" i="33" s="1"/>
  <c r="CC140" i="33"/>
  <c r="CS137" i="33"/>
  <c r="CS126" i="33"/>
  <c r="CS172" i="33" s="1"/>
  <c r="BE151" i="33"/>
  <c r="BE75" i="33"/>
  <c r="BQ128" i="33"/>
  <c r="BQ174" i="33" s="1"/>
  <c r="BQ139" i="33"/>
  <c r="DK140" i="33"/>
  <c r="DK129" i="33"/>
  <c r="DK175" i="33" s="1"/>
  <c r="DN140" i="33"/>
  <c r="DN129" i="33"/>
  <c r="DN175" i="33" s="1"/>
  <c r="BI130" i="33"/>
  <c r="BI176" i="33" s="1"/>
  <c r="BI141" i="33"/>
  <c r="BI129" i="33"/>
  <c r="BI175" i="33" s="1"/>
  <c r="BI140" i="33"/>
  <c r="BS139" i="33"/>
  <c r="BS128" i="33"/>
  <c r="BS174" i="33" s="1"/>
  <c r="EB132" i="33"/>
  <c r="EB121" i="33"/>
  <c r="EB167" i="33" s="1"/>
  <c r="CP140" i="33"/>
  <c r="CP129" i="33"/>
  <c r="CP175" i="33" s="1"/>
  <c r="BJ132" i="33"/>
  <c r="BJ121" i="33"/>
  <c r="BJ167" i="33" s="1"/>
  <c r="BK137" i="33"/>
  <c r="BK126" i="33"/>
  <c r="BK172" i="33" s="1"/>
  <c r="CG151" i="33"/>
  <c r="CG75" i="33"/>
  <c r="DK132" i="33"/>
  <c r="DK121" i="33"/>
  <c r="DK167" i="33" s="1"/>
  <c r="BO133" i="33"/>
  <c r="BO122" i="33"/>
  <c r="BO168" i="33" s="1"/>
  <c r="CK129" i="33"/>
  <c r="CK175" i="33" s="1"/>
  <c r="CK140" i="33"/>
  <c r="EA123" i="33"/>
  <c r="EA169" i="33" s="1"/>
  <c r="EA134" i="33"/>
  <c r="DP127" i="33"/>
  <c r="DP173" i="33" s="1"/>
  <c r="DP138" i="33"/>
  <c r="CM134" i="33"/>
  <c r="CM123" i="33"/>
  <c r="CM169" i="33" s="1"/>
  <c r="CB138" i="33"/>
  <c r="CB127" i="33"/>
  <c r="CB173" i="33" s="1"/>
  <c r="AZ139" i="33"/>
  <c r="AZ128" i="33"/>
  <c r="AZ174" i="33" s="1"/>
  <c r="CL133" i="33"/>
  <c r="CL122" i="33"/>
  <c r="CL168" i="33" s="1"/>
  <c r="DI141" i="33"/>
  <c r="DI130" i="33"/>
  <c r="DI176" i="33" s="1"/>
  <c r="AW136" i="33"/>
  <c r="AW125" i="33"/>
  <c r="AW171" i="33" s="1"/>
  <c r="BF129" i="33"/>
  <c r="BF175" i="33" s="1"/>
  <c r="BF140" i="33"/>
  <c r="CE137" i="33"/>
  <c r="CE126" i="33"/>
  <c r="CE172" i="33" s="1"/>
  <c r="DS130" i="33"/>
  <c r="DS176" i="33" s="1"/>
  <c r="DS141" i="33"/>
  <c r="CG138" i="33"/>
  <c r="CG127" i="33"/>
  <c r="CG173" i="33" s="1"/>
  <c r="CU141" i="33"/>
  <c r="CU130" i="33"/>
  <c r="CU176" i="33" s="1"/>
  <c r="DM124" i="33"/>
  <c r="DM170" i="33" s="1"/>
  <c r="DM135" i="33"/>
  <c r="DJ128" i="33"/>
  <c r="DJ174" i="33" s="1"/>
  <c r="DJ139" i="33"/>
  <c r="DF137" i="33"/>
  <c r="DF126" i="33"/>
  <c r="DF172" i="33" s="1"/>
  <c r="BK135" i="33"/>
  <c r="BK124" i="33"/>
  <c r="BK170" i="33" s="1"/>
  <c r="AV129" i="33"/>
  <c r="AV175" i="33" s="1"/>
  <c r="AV140" i="33"/>
  <c r="CW134" i="33"/>
  <c r="CW123" i="33"/>
  <c r="CW169" i="33" s="1"/>
  <c r="DR141" i="33"/>
  <c r="DR130" i="33"/>
  <c r="DR176" i="33" s="1"/>
  <c r="CM138" i="33"/>
  <c r="CM127" i="33"/>
  <c r="CM173" i="33" s="1"/>
  <c r="DU121" i="33"/>
  <c r="DU167" i="33" s="1"/>
  <c r="DU132" i="33"/>
  <c r="DR136" i="33"/>
  <c r="DR125" i="33"/>
  <c r="DR171" i="33" s="1"/>
  <c r="DG140" i="33"/>
  <c r="DG129" i="33"/>
  <c r="DG175" i="33" s="1"/>
  <c r="CD136" i="33"/>
  <c r="CD125" i="33"/>
  <c r="CD171" i="33" s="1"/>
  <c r="AZ137" i="33"/>
  <c r="AZ126" i="33"/>
  <c r="AZ172" i="33" s="1"/>
  <c r="BJ141" i="33"/>
  <c r="BJ130" i="33"/>
  <c r="BJ176" i="33" s="1"/>
  <c r="DI122" i="33"/>
  <c r="DI168" i="33" s="1"/>
  <c r="DI133" i="33"/>
  <c r="AW153" i="33"/>
  <c r="AW77" i="33"/>
  <c r="BF127" i="33"/>
  <c r="BF173" i="33" s="1"/>
  <c r="BF138" i="33"/>
  <c r="CR151" i="33"/>
  <c r="CR75" i="33"/>
  <c r="DM139" i="33"/>
  <c r="DM128" i="33"/>
  <c r="DM174" i="33" s="1"/>
  <c r="CI136" i="33"/>
  <c r="CI125" i="33"/>
  <c r="CI171" i="33" s="1"/>
  <c r="CW139" i="33"/>
  <c r="CW128" i="33"/>
  <c r="CW174" i="33" s="1"/>
  <c r="DO133" i="33"/>
  <c r="DO122" i="33"/>
  <c r="DO168" i="33" s="1"/>
  <c r="DL126" i="33"/>
  <c r="DL172" i="33" s="1"/>
  <c r="DL137" i="33"/>
  <c r="BR152" i="33"/>
  <c r="BR76" i="33"/>
  <c r="BS138" i="33"/>
  <c r="BS127" i="33"/>
  <c r="BS173" i="33" s="1"/>
  <c r="CN133" i="33"/>
  <c r="CN122" i="33"/>
  <c r="CN168" i="33" s="1"/>
  <c r="DW136" i="33"/>
  <c r="DW125" i="33"/>
  <c r="DW171" i="33" s="1"/>
  <c r="AY154" i="33"/>
  <c r="AY78" i="33"/>
  <c r="CR130" i="33"/>
  <c r="CR176" i="33" s="1"/>
  <c r="CR141" i="33"/>
  <c r="DI136" i="33"/>
  <c r="DI125" i="33"/>
  <c r="DI171" i="33" s="1"/>
  <c r="DW128" i="33"/>
  <c r="DW174" i="33" s="1"/>
  <c r="DW139" i="33"/>
  <c r="CT135" i="33"/>
  <c r="CT124" i="33"/>
  <c r="CT170" i="33" s="1"/>
  <c r="CQ139" i="33"/>
  <c r="CQ128" i="33"/>
  <c r="CQ174" i="33" s="1"/>
  <c r="BH140" i="33"/>
  <c r="BH129" i="33"/>
  <c r="BH175" i="33" s="1"/>
  <c r="CN124" i="33"/>
  <c r="CN170" i="33" s="1"/>
  <c r="CN135" i="33"/>
  <c r="AV152" i="33"/>
  <c r="AV76" i="33"/>
  <c r="BE137" i="33"/>
  <c r="BE126" i="33"/>
  <c r="BE172" i="33" s="1"/>
  <c r="BN130" i="33"/>
  <c r="BN176" i="33" s="1"/>
  <c r="BN141" i="33"/>
  <c r="CY130" i="33"/>
  <c r="CY176" i="33" s="1"/>
  <c r="CY141" i="33"/>
  <c r="CY124" i="33"/>
  <c r="CY170" i="33" s="1"/>
  <c r="CY135" i="33"/>
  <c r="CN128" i="33"/>
  <c r="CN174" i="33" s="1"/>
  <c r="CN139" i="33"/>
  <c r="DF122" i="33"/>
  <c r="DF168" i="33" s="1"/>
  <c r="DF133" i="33"/>
  <c r="EB136" i="33"/>
  <c r="EB125" i="33"/>
  <c r="EB171" i="33" s="1"/>
  <c r="DQ140" i="33"/>
  <c r="DQ129" i="33"/>
  <c r="DQ175" i="33" s="1"/>
  <c r="CF151" i="33"/>
  <c r="CF75" i="33"/>
  <c r="BK139" i="33"/>
  <c r="BK128" i="33"/>
  <c r="BK174" i="33" s="1"/>
  <c r="EA138" i="33"/>
  <c r="EA127" i="33"/>
  <c r="EA173" i="33" s="1"/>
  <c r="DG133" i="33"/>
  <c r="DG122" i="33"/>
  <c r="DG168" i="33" s="1"/>
  <c r="DF140" i="33"/>
  <c r="DF129" i="33"/>
  <c r="DF175" i="33" s="1"/>
  <c r="DN132" i="33"/>
  <c r="DN121" i="33"/>
  <c r="DN167" i="33" s="1"/>
  <c r="CM136" i="33"/>
  <c r="CM125" i="33"/>
  <c r="CM171" i="33" s="1"/>
  <c r="CN132" i="33"/>
  <c r="CN121" i="33"/>
  <c r="CN167" i="33" s="1"/>
  <c r="DQ124" i="33"/>
  <c r="DQ170" i="33" s="1"/>
  <c r="DQ135" i="33"/>
  <c r="DH133" i="33"/>
  <c r="DH122" i="33"/>
  <c r="DH168" i="33" s="1"/>
  <c r="CK134" i="33"/>
  <c r="CK123" i="33"/>
  <c r="CK169" i="33" s="1"/>
  <c r="BP154" i="33"/>
  <c r="BP78" i="33"/>
  <c r="AX137" i="33"/>
  <c r="AX126" i="33"/>
  <c r="AX172" i="33" s="1"/>
  <c r="CP138" i="33"/>
  <c r="CP127" i="33"/>
  <c r="CP173" i="33" s="1"/>
  <c r="EA132" i="33"/>
  <c r="EA121" i="33"/>
  <c r="EA167" i="33" s="1"/>
  <c r="CB123" i="33"/>
  <c r="CB169" i="33" s="1"/>
  <c r="CB134" i="33"/>
  <c r="BD130" i="33"/>
  <c r="BD176" i="33" s="1"/>
  <c r="BD141" i="33"/>
  <c r="DK134" i="33"/>
  <c r="DK123" i="33"/>
  <c r="DK169" i="33" s="1"/>
  <c r="BI128" i="33"/>
  <c r="BI174" i="33" s="1"/>
  <c r="BI139" i="33"/>
  <c r="BA130" i="33"/>
  <c r="BA176" i="33" s="1"/>
  <c r="BA141" i="33"/>
  <c r="DU137" i="33"/>
  <c r="DU126" i="33"/>
  <c r="DU172" i="33" s="1"/>
  <c r="EB140" i="33"/>
  <c r="EB129" i="33"/>
  <c r="EB175" i="33" s="1"/>
  <c r="DS138" i="33"/>
  <c r="DS127" i="33"/>
  <c r="DS173" i="33" s="1"/>
  <c r="CF137" i="33"/>
  <c r="CF126" i="33"/>
  <c r="CF172" i="33" s="1"/>
  <c r="BP140" i="33"/>
  <c r="BP129" i="33"/>
  <c r="BP175" i="33" s="1"/>
  <c r="CI151" i="33"/>
  <c r="CI75" i="33"/>
  <c r="DN133" i="33"/>
  <c r="DN122" i="33"/>
  <c r="DN168" i="33" s="1"/>
  <c r="BC153" i="33"/>
  <c r="BC77" i="33"/>
  <c r="BI122" i="33"/>
  <c r="BI168" i="33" s="1"/>
  <c r="BI133" i="33"/>
  <c r="BL133" i="33"/>
  <c r="BL122" i="33"/>
  <c r="BL168" i="33" s="1"/>
  <c r="CP136" i="33"/>
  <c r="CP125" i="33"/>
  <c r="CP171" i="33" s="1"/>
  <c r="DH130" i="33"/>
  <c r="DH176" i="33" s="1"/>
  <c r="DH141" i="33"/>
  <c r="BB154" i="33"/>
  <c r="BB78" i="33"/>
  <c r="BC140" i="33"/>
  <c r="BC129" i="33"/>
  <c r="BC175" i="33" s="1"/>
  <c r="CV135" i="33"/>
  <c r="CV124" i="33"/>
  <c r="CV170" i="33" s="1"/>
  <c r="AX151" i="33"/>
  <c r="AX75" i="33"/>
  <c r="BG136" i="33"/>
  <c r="BG125" i="33"/>
  <c r="BG171" i="33" s="1"/>
  <c r="DK133" i="33"/>
  <c r="DK122" i="33"/>
  <c r="DK168" i="33" s="1"/>
  <c r="DP126" i="33"/>
  <c r="DP172" i="33" s="1"/>
  <c r="DP137" i="33"/>
  <c r="DE130" i="33"/>
  <c r="DE176" i="33" s="1"/>
  <c r="DE141" i="33"/>
  <c r="CB137" i="33"/>
  <c r="CB126" i="33"/>
  <c r="CB172" i="33" s="1"/>
  <c r="CX140" i="33"/>
  <c r="CX129" i="33"/>
  <c r="CX175" i="33" s="1"/>
  <c r="BP141" i="33"/>
  <c r="BP130" i="33"/>
  <c r="BP176" i="33" s="1"/>
  <c r="CH130" i="33"/>
  <c r="CH176" i="33" s="1"/>
  <c r="CH141" i="33"/>
  <c r="BD153" i="33"/>
  <c r="BD77" i="33"/>
  <c r="BM138" i="33"/>
  <c r="BM127" i="33"/>
  <c r="BM173" i="33" s="1"/>
  <c r="CH122" i="33"/>
  <c r="CH168" i="33" s="1"/>
  <c r="CH133" i="33"/>
  <c r="DE137" i="33"/>
  <c r="DE126" i="33"/>
  <c r="DE172" i="33" s="1"/>
  <c r="CG137" i="33"/>
  <c r="CG126" i="33"/>
  <c r="CG172" i="33" s="1"/>
  <c r="CU140" i="33"/>
  <c r="CU129" i="33"/>
  <c r="CU175" i="33" s="1"/>
  <c r="DM134" i="33"/>
  <c r="DM123" i="33"/>
  <c r="DM169" i="33" s="1"/>
  <c r="DJ138" i="33"/>
  <c r="DJ127" i="33"/>
  <c r="DJ173" i="33" s="1"/>
  <c r="DX130" i="33"/>
  <c r="DX176" i="33" s="1"/>
  <c r="DX141" i="33"/>
  <c r="BB152" i="33"/>
  <c r="BB76" i="33"/>
  <c r="BC138" i="33"/>
  <c r="BC127" i="33"/>
  <c r="BC173" i="33" s="1"/>
  <c r="CW151" i="33"/>
  <c r="CW75" i="33"/>
  <c r="DQ134" i="33"/>
  <c r="DQ123" i="33"/>
  <c r="DQ169" i="33" s="1"/>
  <c r="BG134" i="33"/>
  <c r="BG123" i="33"/>
  <c r="BG169" i="33" s="1"/>
  <c r="CB141" i="33"/>
  <c r="CB130" i="33"/>
  <c r="CB176" i="33" s="1"/>
  <c r="DR124" i="33"/>
  <c r="DR170" i="33" s="1"/>
  <c r="DR135" i="33"/>
  <c r="DG139" i="33"/>
  <c r="DG128" i="33"/>
  <c r="DG174" i="33" s="1"/>
  <c r="CD135" i="33"/>
  <c r="CD124" i="33"/>
  <c r="CD170" i="33" s="1"/>
  <c r="CR127" i="33"/>
  <c r="CR173" i="33" s="1"/>
  <c r="CR138" i="33"/>
  <c r="BP139" i="33"/>
  <c r="BP128" i="33"/>
  <c r="BP174" i="33" s="1"/>
  <c r="CC134" i="33"/>
  <c r="CC123" i="33"/>
  <c r="CC169" i="33" s="1"/>
  <c r="BD151" i="33"/>
  <c r="BD75" i="33"/>
  <c r="BM136" i="33"/>
  <c r="BM125" i="33"/>
  <c r="BM171" i="33" s="1"/>
  <c r="AX141" i="33"/>
  <c r="AX130" i="33"/>
  <c r="AX176" i="33" s="1"/>
  <c r="CK139" i="33"/>
  <c r="CK128" i="33"/>
  <c r="CK174" i="33" s="1"/>
  <c r="CI135" i="33"/>
  <c r="CI124" i="33"/>
  <c r="CI170" i="33" s="1"/>
  <c r="CW138" i="33"/>
  <c r="CW127" i="33"/>
  <c r="CW173" i="33" s="1"/>
  <c r="DO121" i="33"/>
  <c r="DO167" i="33" s="1"/>
  <c r="DO132" i="33"/>
  <c r="DL125" i="33"/>
  <c r="DL171" i="33" s="1"/>
  <c r="DL136" i="33"/>
  <c r="DZ128" i="33"/>
  <c r="DZ174" i="33" s="1"/>
  <c r="DZ139" i="33"/>
  <c r="BJ136" i="33"/>
  <c r="BJ125" i="33"/>
  <c r="BJ171" i="33" s="1"/>
  <c r="BK141" i="33"/>
  <c r="BK130" i="33"/>
  <c r="BK176" i="33" s="1"/>
  <c r="CP141" i="33"/>
  <c r="CP130" i="33"/>
  <c r="CP176" i="33" s="1"/>
  <c r="BF133" i="33"/>
  <c r="BF122" i="33"/>
  <c r="BF168" i="33" s="1"/>
  <c r="BO126" i="33"/>
  <c r="BO172" i="33" s="1"/>
  <c r="BO137" i="33"/>
  <c r="DR134" i="33"/>
  <c r="DR123" i="33"/>
  <c r="DR169" i="33" s="1"/>
  <c r="DW138" i="33"/>
  <c r="DW127" i="33"/>
  <c r="DW173" i="33" s="1"/>
  <c r="CT134" i="33"/>
  <c r="CT123" i="33"/>
  <c r="CT169" i="33" s="1"/>
  <c r="CQ138" i="33"/>
  <c r="CQ127" i="33"/>
  <c r="CQ173" i="33" s="1"/>
  <c r="DI121" i="33"/>
  <c r="DI167" i="33" s="1"/>
  <c r="DI132" i="33"/>
  <c r="CB152" i="33"/>
  <c r="CB76" i="33"/>
  <c r="DN126" i="33"/>
  <c r="DN172" i="33" s="1"/>
  <c r="DN137" i="33"/>
  <c r="BL124" i="33"/>
  <c r="BL170" i="33" s="1"/>
  <c r="BL135" i="33"/>
  <c r="AW140" i="33"/>
  <c r="AW129" i="33"/>
  <c r="AW175" i="33" s="1"/>
  <c r="CX134" i="33"/>
  <c r="CX123" i="33"/>
  <c r="CX169" i="33" s="1"/>
  <c r="DY130" i="33"/>
  <c r="DY176" i="33" s="1"/>
  <c r="DY141" i="33"/>
  <c r="CN127" i="33"/>
  <c r="CN173" i="33" s="1"/>
  <c r="CN138" i="33"/>
  <c r="DF121" i="33"/>
  <c r="DF167" i="33" s="1"/>
  <c r="DF132" i="33"/>
  <c r="EB135" i="33"/>
  <c r="EB124" i="33"/>
  <c r="EB170" i="33" s="1"/>
  <c r="DQ139" i="33"/>
  <c r="DQ128" i="33"/>
  <c r="DQ174" i="33" s="1"/>
  <c r="AP203" i="33"/>
  <c r="AQ203" i="33" s="1"/>
  <c r="AP200" i="33"/>
  <c r="AQ200" i="33" s="1"/>
  <c r="AP201" i="33"/>
  <c r="AQ201" i="33" s="1"/>
  <c r="AP204" i="33"/>
  <c r="AQ204" i="33" s="1"/>
  <c r="AP202" i="33"/>
  <c r="AQ202" i="33" s="1"/>
  <c r="J201" i="33"/>
  <c r="D201" i="33" s="1"/>
  <c r="O261" i="33"/>
  <c r="CC152" i="33"/>
  <c r="CC76" i="33"/>
  <c r="BF139" i="33"/>
  <c r="BF128" i="33"/>
  <c r="BF174" i="33" s="1"/>
  <c r="BE140" i="33"/>
  <c r="BE129" i="33"/>
  <c r="BE175" i="33" s="1"/>
  <c r="DV140" i="33"/>
  <c r="DV129" i="33"/>
  <c r="DV175" i="33" s="1"/>
  <c r="CE136" i="33"/>
  <c r="CE125" i="33"/>
  <c r="CE171" i="33" s="1"/>
  <c r="BR151" i="33"/>
  <c r="BR75" i="33"/>
  <c r="DJ135" i="33"/>
  <c r="DJ124" i="33"/>
  <c r="DJ170" i="33" s="1"/>
  <c r="BM133" i="33"/>
  <c r="BM122" i="33"/>
  <c r="BM168" i="33" s="1"/>
  <c r="DU136" i="33"/>
  <c r="DU125" i="33"/>
  <c r="DU171" i="33" s="1"/>
  <c r="AY151" i="33"/>
  <c r="AY75" i="33"/>
  <c r="DO129" i="33"/>
  <c r="DO175" i="33" s="1"/>
  <c r="DO140" i="33"/>
  <c r="AW137" i="33"/>
  <c r="AW126" i="33"/>
  <c r="AW172" i="33" s="1"/>
  <c r="DI140" i="33"/>
  <c r="DI129" i="33"/>
  <c r="DI175" i="33" s="1"/>
  <c r="CC136" i="33"/>
  <c r="CC125" i="33"/>
  <c r="CC171" i="33" s="1"/>
  <c r="BA136" i="33"/>
  <c r="BA125" i="33"/>
  <c r="BA171" i="33" s="1"/>
  <c r="BB126" i="33"/>
  <c r="BB172" i="33" s="1"/>
  <c r="BB137" i="33"/>
  <c r="CK135" i="33"/>
  <c r="CK124" i="33"/>
  <c r="CK170" i="33" s="1"/>
  <c r="BQ127" i="33"/>
  <c r="BQ173" i="33" s="1"/>
  <c r="BQ138" i="33"/>
  <c r="BD125" i="33"/>
  <c r="BD171" i="33" s="1"/>
  <c r="BD136" i="33"/>
  <c r="CE139" i="33"/>
  <c r="CE128" i="33"/>
  <c r="CE174" i="33" s="1"/>
  <c r="BQ129" i="33"/>
  <c r="BQ175" i="33" s="1"/>
  <c r="BQ140" i="33"/>
  <c r="DN135" i="33"/>
  <c r="DN124" i="33"/>
  <c r="DN170" i="33" s="1"/>
  <c r="DZ132" i="33"/>
  <c r="DZ121" i="33"/>
  <c r="DZ167" i="33" s="1"/>
  <c r="DE138" i="33"/>
  <c r="DE127" i="33"/>
  <c r="DE173" i="33" s="1"/>
  <c r="DH139" i="33"/>
  <c r="DH128" i="33"/>
  <c r="DH174" i="33" s="1"/>
  <c r="CO135" i="33"/>
  <c r="CO124" i="33"/>
  <c r="CO170" i="33" s="1"/>
  <c r="CJ123" i="33"/>
  <c r="CJ169" i="33" s="1"/>
  <c r="CJ134" i="33"/>
  <c r="AW154" i="33"/>
  <c r="AW78" i="33"/>
  <c r="CH126" i="33"/>
  <c r="CH172" i="33" s="1"/>
  <c r="CH137" i="33"/>
  <c r="AX153" i="33"/>
  <c r="AX77" i="33"/>
  <c r="DG136" i="33"/>
  <c r="DG125" i="33"/>
  <c r="DG171" i="33" s="1"/>
  <c r="BL130" i="33"/>
  <c r="BL176" i="33" s="1"/>
  <c r="BL141" i="33"/>
  <c r="DS123" i="33"/>
  <c r="DS169" i="33" s="1"/>
  <c r="DS134" i="33"/>
  <c r="CK133" i="33"/>
  <c r="CK122" i="33"/>
  <c r="CK168" i="33" s="1"/>
  <c r="CH127" i="33"/>
  <c r="CH173" i="33" s="1"/>
  <c r="CH138" i="33"/>
  <c r="BJ134" i="33"/>
  <c r="BJ123" i="33"/>
  <c r="BJ169" i="33" s="1"/>
  <c r="BO135" i="33"/>
  <c r="BO124" i="33"/>
  <c r="BO170" i="33" s="1"/>
  <c r="CK125" i="33"/>
  <c r="CK171" i="33" s="1"/>
  <c r="CK136" i="33"/>
  <c r="CG152" i="33"/>
  <c r="CG76" i="33"/>
  <c r="BQ152" i="33"/>
  <c r="BQ76" i="33"/>
  <c r="CR134" i="33"/>
  <c r="CR123" i="33"/>
  <c r="CR169" i="33" s="1"/>
  <c r="DH137" i="33"/>
  <c r="DH126" i="33"/>
  <c r="DH172" i="33" s="1"/>
  <c r="BH133" i="33"/>
  <c r="BH122" i="33"/>
  <c r="BH168" i="33" s="1"/>
  <c r="BR137" i="33"/>
  <c r="BR126" i="33"/>
  <c r="BR172" i="33" s="1"/>
  <c r="CV151" i="33"/>
  <c r="CV75" i="33"/>
  <c r="DP135" i="33"/>
  <c r="DP124" i="33"/>
  <c r="DP170" i="33" s="1"/>
  <c r="BN153" i="33"/>
  <c r="BN77" i="33"/>
  <c r="AY139" i="33"/>
  <c r="AY128" i="33"/>
  <c r="AY174" i="33" s="1"/>
  <c r="DY135" i="33"/>
  <c r="DY124" i="33"/>
  <c r="DY170" i="33" s="1"/>
  <c r="DE129" i="33"/>
  <c r="DE175" i="33" s="1"/>
  <c r="DE140" i="33"/>
  <c r="CB136" i="33"/>
  <c r="CB125" i="33"/>
  <c r="CB171" i="33" s="1"/>
  <c r="CX139" i="33"/>
  <c r="CX128" i="33"/>
  <c r="CX174" i="33" s="1"/>
  <c r="DP133" i="33"/>
  <c r="DP122" i="33"/>
  <c r="DP168" i="33" s="1"/>
  <c r="CF124" i="33"/>
  <c r="CF170" i="33" s="1"/>
  <c r="CF135" i="33"/>
  <c r="BK132" i="33"/>
  <c r="BK121" i="33"/>
  <c r="BK167" i="33" s="1"/>
  <c r="AV126" i="33"/>
  <c r="AV172" i="33" s="1"/>
  <c r="AV137" i="33"/>
  <c r="BE130" i="33"/>
  <c r="BE176" i="33" s="1"/>
  <c r="BE141" i="33"/>
  <c r="CQ140" i="33"/>
  <c r="CQ129" i="33"/>
  <c r="CQ175" i="33" s="1"/>
  <c r="CP135" i="33"/>
  <c r="CP124" i="33"/>
  <c r="CP170" i="33" s="1"/>
  <c r="CU139" i="33"/>
  <c r="CU128" i="33"/>
  <c r="CU174" i="33" s="1"/>
  <c r="DM122" i="33"/>
  <c r="DM168" i="33" s="1"/>
  <c r="DM133" i="33"/>
  <c r="DJ137" i="33"/>
  <c r="DJ126" i="33"/>
  <c r="DJ172" i="33" s="1"/>
  <c r="DX129" i="33"/>
  <c r="DX175" i="33" s="1"/>
  <c r="DX140" i="33"/>
  <c r="CG135" i="33"/>
  <c r="CG124" i="33"/>
  <c r="CG170" i="33" s="1"/>
  <c r="BR154" i="33"/>
  <c r="BR78" i="33"/>
  <c r="BS140" i="33"/>
  <c r="BS129" i="33"/>
  <c r="BS175" i="33" s="1"/>
  <c r="CB139" i="33"/>
  <c r="CB128" i="33"/>
  <c r="CB174" i="33" s="1"/>
  <c r="BN151" i="33"/>
  <c r="BN75" i="33"/>
  <c r="AY137" i="33"/>
  <c r="AY126" i="33"/>
  <c r="AY172" i="33" s="1"/>
  <c r="EA133" i="33"/>
  <c r="EA122" i="33"/>
  <c r="EA168" i="33" s="1"/>
  <c r="DG138" i="33"/>
  <c r="DG127" i="33"/>
  <c r="DG173" i="33" s="1"/>
  <c r="DU141" i="33"/>
  <c r="DU130" i="33"/>
  <c r="DU176" i="33" s="1"/>
  <c r="CR126" i="33"/>
  <c r="CR172" i="33" s="1"/>
  <c r="CR137" i="33"/>
  <c r="CO141" i="33"/>
  <c r="CO130" i="33"/>
  <c r="CO176" i="33" s="1"/>
  <c r="CK151" i="33"/>
  <c r="CK75" i="33"/>
  <c r="DH135" i="33"/>
  <c r="DH124" i="33"/>
  <c r="DH170" i="33" s="1"/>
  <c r="AV154" i="33"/>
  <c r="AV78" i="33"/>
  <c r="BE139" i="33"/>
  <c r="BE128" i="33"/>
  <c r="BE174" i="33" s="1"/>
  <c r="CX152" i="33"/>
  <c r="CX76" i="33"/>
  <c r="DS139" i="33"/>
  <c r="DS128" i="33"/>
  <c r="DS174" i="33" s="1"/>
  <c r="CW137" i="33"/>
  <c r="CW126" i="33"/>
  <c r="CW172" i="33" s="1"/>
  <c r="CL130" i="33"/>
  <c r="CL176" i="33" s="1"/>
  <c r="CL141" i="33"/>
  <c r="DL135" i="33"/>
  <c r="DL124" i="33"/>
  <c r="DL170" i="33" s="1"/>
  <c r="DZ138" i="33"/>
  <c r="DZ127" i="33"/>
  <c r="DZ173" i="33" s="1"/>
  <c r="BP153" i="33"/>
  <c r="BP77" i="33"/>
  <c r="BB139" i="33"/>
  <c r="BB128" i="33"/>
  <c r="BB174" i="33" s="1"/>
  <c r="CD134" i="33"/>
  <c r="CD123" i="33"/>
  <c r="CD169" i="33" s="1"/>
  <c r="DJ141" i="33"/>
  <c r="DJ130" i="33"/>
  <c r="DJ176" i="33" s="1"/>
  <c r="AX125" i="33"/>
  <c r="AX171" i="33" s="1"/>
  <c r="AX136" i="33"/>
  <c r="BG129" i="33"/>
  <c r="BG175" i="33" s="1"/>
  <c r="BG140" i="33"/>
  <c r="DG137" i="33"/>
  <c r="DG126" i="33"/>
  <c r="DG172" i="33" s="1"/>
  <c r="DT130" i="33"/>
  <c r="DT176" i="33" s="1"/>
  <c r="DT141" i="33"/>
  <c r="CQ126" i="33"/>
  <c r="CQ172" i="33" s="1"/>
  <c r="CQ137" i="33"/>
  <c r="CF130" i="33"/>
  <c r="CF176" i="33" s="1"/>
  <c r="CF141" i="33"/>
  <c r="DW134" i="33"/>
  <c r="DW123" i="33"/>
  <c r="DW169" i="33" s="1"/>
  <c r="CR139" i="33"/>
  <c r="CR128" i="33"/>
  <c r="CR174" i="33" s="1"/>
  <c r="BS152" i="33"/>
  <c r="BS76" i="33"/>
  <c r="BD138" i="33"/>
  <c r="BD127" i="33"/>
  <c r="BD173" i="33" s="1"/>
  <c r="CX151" i="33"/>
  <c r="CX75" i="33"/>
  <c r="DX134" i="33"/>
  <c r="DX123" i="33"/>
  <c r="DX169" i="33" s="1"/>
  <c r="CW136" i="33"/>
  <c r="CW125" i="33"/>
  <c r="CW171" i="33" s="1"/>
  <c r="CC141" i="33"/>
  <c r="CC130" i="33"/>
  <c r="CC176" i="33" s="1"/>
  <c r="EB123" i="33"/>
  <c r="EB169" i="33" s="1"/>
  <c r="EB134" i="33"/>
  <c r="DQ138" i="33"/>
  <c r="DQ127" i="33"/>
  <c r="DQ173" i="33" s="1"/>
  <c r="CN134" i="33"/>
  <c r="CN123" i="33"/>
  <c r="CN169" i="33" s="1"/>
  <c r="V198" i="33"/>
  <c r="W198" i="33" s="1"/>
  <c r="V199" i="33"/>
  <c r="W199" i="33" s="1"/>
  <c r="BM129" i="33"/>
  <c r="BM175" i="33" s="1"/>
  <c r="BM140" i="33"/>
  <c r="CK130" i="33"/>
  <c r="CK176" i="33" s="1"/>
  <c r="CK141" i="33"/>
  <c r="CQ130" i="33"/>
  <c r="CQ176" i="33" s="1"/>
  <c r="CQ141" i="33"/>
  <c r="DK135" i="33"/>
  <c r="DK124" i="33"/>
  <c r="DK170" i="33" s="1"/>
  <c r="BM135" i="33"/>
  <c r="BM124" i="33"/>
  <c r="BM170" i="33" s="1"/>
  <c r="DE124" i="33"/>
  <c r="DE170" i="33" s="1"/>
  <c r="DE135" i="33"/>
  <c r="AY153" i="33"/>
  <c r="AY77" i="33"/>
  <c r="BP136" i="33"/>
  <c r="BP125" i="33"/>
  <c r="BP171" i="33" s="1"/>
  <c r="CO139" i="33"/>
  <c r="CO128" i="33"/>
  <c r="CO174" i="33" s="1"/>
  <c r="CU127" i="33"/>
  <c r="CU173" i="33" s="1"/>
  <c r="CU138" i="33"/>
  <c r="AZ129" i="33"/>
  <c r="AZ175" i="33" s="1"/>
  <c r="AZ140" i="33"/>
  <c r="CF128" i="33"/>
  <c r="CF174" i="33" s="1"/>
  <c r="CF139" i="33"/>
  <c r="BC139" i="33"/>
  <c r="BC128" i="33"/>
  <c r="BC174" i="33" s="1"/>
  <c r="CY139" i="33"/>
  <c r="CY128" i="33"/>
  <c r="CY174" i="33" s="1"/>
  <c r="DJ133" i="33"/>
  <c r="DJ122" i="33"/>
  <c r="DJ168" i="33" s="1"/>
  <c r="DK125" i="33"/>
  <c r="DK171" i="33" s="1"/>
  <c r="DK136" i="33"/>
  <c r="BA128" i="33"/>
  <c r="BA174" i="33" s="1"/>
  <c r="BA139" i="33"/>
  <c r="DP134" i="33"/>
  <c r="DP123" i="33"/>
  <c r="DP169" i="33" s="1"/>
  <c r="DV139" i="33"/>
  <c r="DV128" i="33"/>
  <c r="DV174" i="33" s="1"/>
  <c r="BP151" i="33"/>
  <c r="BP75" i="33"/>
  <c r="DG135" i="33"/>
  <c r="DG124" i="33"/>
  <c r="DG170" i="33" s="1"/>
  <c r="BB140" i="33"/>
  <c r="BB129" i="33"/>
  <c r="BB175" i="33" s="1"/>
  <c r="BG141" i="33"/>
  <c r="BG130" i="33"/>
  <c r="BG176" i="33" s="1"/>
  <c r="DH132" i="33"/>
  <c r="DH121" i="33"/>
  <c r="DH167" i="33" s="1"/>
  <c r="DX135" i="33"/>
  <c r="DX124" i="33"/>
  <c r="DX170" i="33" s="1"/>
  <c r="BI123" i="33"/>
  <c r="BI169" i="33" s="1"/>
  <c r="BI134" i="33"/>
  <c r="CJ140" i="33"/>
  <c r="CJ129" i="33"/>
  <c r="CJ175" i="33" s="1"/>
  <c r="DY137" i="33"/>
  <c r="DY126" i="33"/>
  <c r="DY172" i="33" s="1"/>
  <c r="BA127" i="33"/>
  <c r="BA173" i="33" s="1"/>
  <c r="BA138" i="33"/>
  <c r="CS138" i="33"/>
  <c r="CS127" i="33"/>
  <c r="CS173" i="33" s="1"/>
  <c r="BE154" i="33"/>
  <c r="BE78" i="33"/>
  <c r="CP137" i="33"/>
  <c r="CP126" i="33"/>
  <c r="CP172" i="33" s="1"/>
  <c r="CJ133" i="33"/>
  <c r="CJ122" i="33"/>
  <c r="CJ168" i="33" s="1"/>
  <c r="DT138" i="33"/>
  <c r="DT127" i="33"/>
  <c r="DT173" i="33" s="1"/>
  <c r="CN136" i="33"/>
  <c r="CN125" i="33"/>
  <c r="CN171" i="33" s="1"/>
  <c r="DS132" i="33"/>
  <c r="DS121" i="33"/>
  <c r="DS167" i="33" s="1"/>
  <c r="DK137" i="33"/>
  <c r="DK126" i="33"/>
  <c r="DK172" i="33" s="1"/>
  <c r="DW137" i="33"/>
  <c r="DW126" i="33"/>
  <c r="DW172" i="33" s="1"/>
  <c r="BQ136" i="33"/>
  <c r="BQ125" i="33"/>
  <c r="BQ171" i="33" s="1"/>
  <c r="AW138" i="33"/>
  <c r="AW127" i="33"/>
  <c r="AW173" i="33" s="1"/>
  <c r="CE129" i="33"/>
  <c r="CE175" i="33" s="1"/>
  <c r="CE140" i="33"/>
  <c r="AZ136" i="33"/>
  <c r="AZ125" i="33"/>
  <c r="AZ171" i="33" s="1"/>
  <c r="BJ129" i="33"/>
  <c r="BJ175" i="33" s="1"/>
  <c r="BJ140" i="33"/>
  <c r="CU137" i="33"/>
  <c r="CU126" i="33"/>
  <c r="CU172" i="33" s="1"/>
  <c r="AW152" i="33"/>
  <c r="AW76" i="33"/>
  <c r="BF137" i="33"/>
  <c r="BF126" i="33"/>
  <c r="BF172" i="33" s="1"/>
  <c r="BO130" i="33"/>
  <c r="BO176" i="33" s="1"/>
  <c r="BO141" i="33"/>
  <c r="DN138" i="33"/>
  <c r="DN127" i="33"/>
  <c r="DN173" i="33" s="1"/>
  <c r="CB135" i="33"/>
  <c r="CB124" i="33"/>
  <c r="CB170" i="33" s="1"/>
  <c r="CX138" i="33"/>
  <c r="CX127" i="33"/>
  <c r="CX173" i="33" s="1"/>
  <c r="DP132" i="33"/>
  <c r="DP121" i="33"/>
  <c r="DP167" i="33" s="1"/>
  <c r="DE136" i="33"/>
  <c r="DE125" i="33"/>
  <c r="DE171" i="33" s="1"/>
  <c r="DF136" i="33"/>
  <c r="DF125" i="33"/>
  <c r="DF171" i="33" s="1"/>
  <c r="BC154" i="33"/>
  <c r="BC78" i="33"/>
  <c r="BL139" i="33"/>
  <c r="BL128" i="33"/>
  <c r="BL174" i="33" s="1"/>
  <c r="CF134" i="33"/>
  <c r="CF123" i="33"/>
  <c r="CF169" i="33" s="1"/>
  <c r="DR140" i="33"/>
  <c r="DR129" i="33"/>
  <c r="DR175" i="33" s="1"/>
  <c r="CE138" i="33"/>
  <c r="CE127" i="33"/>
  <c r="CE173" i="33" s="1"/>
  <c r="DM132" i="33"/>
  <c r="DM121" i="33"/>
  <c r="DM167" i="33" s="1"/>
  <c r="DJ136" i="33"/>
  <c r="DJ125" i="33"/>
  <c r="DJ171" i="33" s="1"/>
  <c r="DX139" i="33"/>
  <c r="DX128" i="33"/>
  <c r="DX174" i="33" s="1"/>
  <c r="CU135" i="33"/>
  <c r="CU124" i="33"/>
  <c r="CU170" i="33" s="1"/>
  <c r="AZ153" i="33"/>
  <c r="AZ77" i="33"/>
  <c r="BJ138" i="33"/>
  <c r="BJ127" i="33"/>
  <c r="BJ173" i="33" s="1"/>
  <c r="CM133" i="33"/>
  <c r="CM122" i="33"/>
  <c r="CM168" i="33" s="1"/>
  <c r="DV137" i="33"/>
  <c r="DV126" i="33"/>
  <c r="DV172" i="33" s="1"/>
  <c r="BF154" i="33"/>
  <c r="BF78" i="33"/>
  <c r="BO139" i="33"/>
  <c r="BO128" i="33"/>
  <c r="BO174" i="33" s="1"/>
  <c r="DP136" i="33"/>
  <c r="DP125" i="33"/>
  <c r="DP171" i="33" s="1"/>
  <c r="DU129" i="33"/>
  <c r="DU175" i="33" s="1"/>
  <c r="DU140" i="33"/>
  <c r="CR136" i="33"/>
  <c r="CR125" i="33"/>
  <c r="CR171" i="33" s="1"/>
  <c r="CO140" i="33"/>
  <c r="CO129" i="33"/>
  <c r="CO175" i="33" s="1"/>
  <c r="DG123" i="33"/>
  <c r="DG169" i="33" s="1"/>
  <c r="DG134" i="33"/>
  <c r="CL137" i="33"/>
  <c r="CL126" i="33"/>
  <c r="CL172" i="33" s="1"/>
  <c r="BC152" i="33"/>
  <c r="BC76" i="33"/>
  <c r="BL137" i="33"/>
  <c r="BL126" i="33"/>
  <c r="BL172" i="33" s="1"/>
  <c r="CH151" i="33"/>
  <c r="CH75" i="33"/>
  <c r="DR132" i="33"/>
  <c r="DR121" i="33"/>
  <c r="DR167" i="33" s="1"/>
  <c r="CG136" i="33"/>
  <c r="CG125" i="33"/>
  <c r="CG171" i="33" s="1"/>
  <c r="CL140" i="33"/>
  <c r="CL129" i="33"/>
  <c r="CL175" i="33" s="1"/>
  <c r="DL134" i="33"/>
  <c r="DL123" i="33"/>
  <c r="DL169" i="33" s="1"/>
  <c r="DZ137" i="33"/>
  <c r="DZ126" i="33"/>
  <c r="DZ172" i="33" s="1"/>
  <c r="DO141" i="33"/>
  <c r="DO130" i="33"/>
  <c r="DO176" i="33" s="1"/>
  <c r="BH126" i="33"/>
  <c r="BH172" i="33" s="1"/>
  <c r="BH137" i="33"/>
  <c r="BR141" i="33"/>
  <c r="BR130" i="33"/>
  <c r="BR176" i="33" s="1"/>
  <c r="DI134" i="33"/>
  <c r="DI123" i="33"/>
  <c r="DI169" i="33" s="1"/>
  <c r="BE153" i="33"/>
  <c r="BE77" i="33"/>
  <c r="BN138" i="33"/>
  <c r="BN127" i="33"/>
  <c r="BN173" i="33" s="1"/>
  <c r="CI133" i="33"/>
  <c r="CI122" i="33"/>
  <c r="CI168" i="33" s="1"/>
  <c r="DU139" i="33"/>
  <c r="DU128" i="33"/>
  <c r="DU174" i="33" s="1"/>
  <c r="CQ136" i="33"/>
  <c r="CQ125" i="33"/>
  <c r="CQ171" i="33" s="1"/>
  <c r="CF129" i="33"/>
  <c r="CF175" i="33" s="1"/>
  <c r="CF140" i="33"/>
  <c r="DW133" i="33"/>
  <c r="DW122" i="33"/>
  <c r="DW168" i="33" s="1"/>
  <c r="DT126" i="33"/>
  <c r="DT172" i="33" s="1"/>
  <c r="DT137" i="33"/>
  <c r="DZ129" i="33"/>
  <c r="DZ175" i="33" s="1"/>
  <c r="DZ140" i="33"/>
  <c r="BK136" i="33"/>
  <c r="BK125" i="33"/>
  <c r="BK171" i="33" s="1"/>
  <c r="AV130" i="33"/>
  <c r="AV176" i="33" s="1"/>
  <c r="AV141" i="33"/>
  <c r="CC128" i="33"/>
  <c r="CC174" i="33" s="1"/>
  <c r="CC139" i="33"/>
  <c r="BO151" i="33"/>
  <c r="BO160" i="33" s="1"/>
  <c r="BO161" i="33" s="1"/>
  <c r="BO162" i="33" s="1"/>
  <c r="BO75" i="33"/>
  <c r="CL128" i="33"/>
  <c r="CL174" i="33" s="1"/>
  <c r="CL139" i="33"/>
  <c r="EB133" i="33"/>
  <c r="EB122" i="33"/>
  <c r="EB168" i="33" s="1"/>
  <c r="DQ137" i="33"/>
  <c r="DQ126" i="33"/>
  <c r="DQ172" i="33" s="1"/>
  <c r="DF141" i="33"/>
  <c r="DF130" i="33"/>
  <c r="DF176" i="33" s="1"/>
  <c r="CC137" i="33"/>
  <c r="CC126" i="33"/>
  <c r="CC172" i="33" s="1"/>
  <c r="AL208" i="33"/>
  <c r="T208" i="33"/>
  <c r="D207" i="33"/>
  <c r="AA121" i="18"/>
  <c r="C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K115" i="32" s="1"/>
  <c r="B25" i="15"/>
  <c r="B26" i="15"/>
  <c r="B92" i="15" s="1"/>
  <c r="AI38" i="18" s="1"/>
  <c r="BM160" i="33" l="1"/>
  <c r="BM161" i="33" s="1"/>
  <c r="BM162" i="33" s="1"/>
  <c r="EB178" i="33"/>
  <c r="O256" i="33"/>
  <c r="DS178" i="33"/>
  <c r="DH178" i="33"/>
  <c r="DF178" i="33"/>
  <c r="DI178" i="33"/>
  <c r="DO178" i="33"/>
  <c r="AX160" i="33"/>
  <c r="AX161" i="33" s="1"/>
  <c r="AX162" i="33" s="1"/>
  <c r="D289" i="33"/>
  <c r="BD160" i="33"/>
  <c r="BD161" i="33" s="1"/>
  <c r="BD162" i="33" s="1"/>
  <c r="BN160" i="33"/>
  <c r="BN161" i="33" s="1"/>
  <c r="BN162" i="33" s="1"/>
  <c r="AY121" i="33"/>
  <c r="AY167" i="33" s="1"/>
  <c r="AY132" i="33"/>
  <c r="CL121" i="33"/>
  <c r="CL167" i="33" s="1"/>
  <c r="CL178" i="33" s="1"/>
  <c r="CL132" i="33"/>
  <c r="CP143" i="33"/>
  <c r="CP142" i="33"/>
  <c r="CP144" i="33"/>
  <c r="CP145" i="33"/>
  <c r="BC160" i="33"/>
  <c r="BC161" i="33" s="1"/>
  <c r="BC162" i="33" s="1"/>
  <c r="DG145" i="33"/>
  <c r="DG144" i="33"/>
  <c r="DG143" i="33"/>
  <c r="DG142" i="33"/>
  <c r="DS144" i="33"/>
  <c r="DS143" i="33"/>
  <c r="DS142" i="33"/>
  <c r="DS145" i="33"/>
  <c r="DH144" i="33"/>
  <c r="DH142" i="33"/>
  <c r="DH143" i="33"/>
  <c r="DH145" i="33"/>
  <c r="BP160" i="33"/>
  <c r="BP161" i="33" s="1"/>
  <c r="BP162" i="33" s="1"/>
  <c r="W200" i="33"/>
  <c r="D203" i="33" s="1"/>
  <c r="AY160" i="33"/>
  <c r="AY161" i="33" s="1"/>
  <c r="AY162" i="33" s="1"/>
  <c r="BR160" i="33"/>
  <c r="BR161" i="33" s="1"/>
  <c r="BR162" i="33" s="1"/>
  <c r="AL209" i="33"/>
  <c r="EA178" i="33"/>
  <c r="EB142" i="33"/>
  <c r="EB143" i="33"/>
  <c r="EB144" i="33"/>
  <c r="EB145" i="33"/>
  <c r="AZ135" i="33"/>
  <c r="AZ124" i="33"/>
  <c r="AZ170" i="33" s="1"/>
  <c r="CE133" i="33"/>
  <c r="CE122" i="33"/>
  <c r="CE168" i="33" s="1"/>
  <c r="BA121" i="33"/>
  <c r="BA167" i="33" s="1"/>
  <c r="BA132" i="33"/>
  <c r="BB132" i="33"/>
  <c r="BB121" i="33"/>
  <c r="BB167" i="33" s="1"/>
  <c r="CM132" i="33"/>
  <c r="CM121" i="33"/>
  <c r="CM167" i="33" s="1"/>
  <c r="CM178" i="33" s="1"/>
  <c r="BB134" i="33"/>
  <c r="BB123" i="33"/>
  <c r="BB169" i="33" s="1"/>
  <c r="CJ132" i="33"/>
  <c r="CJ121" i="33"/>
  <c r="CJ167" i="33" s="1"/>
  <c r="CJ178" i="33" s="1"/>
  <c r="DV142" i="33"/>
  <c r="DV143" i="33"/>
  <c r="DV144" i="33"/>
  <c r="DV145" i="33"/>
  <c r="DG178" i="33"/>
  <c r="AV133" i="33"/>
  <c r="AV122" i="33"/>
  <c r="AV168" i="33" s="1"/>
  <c r="BA134" i="33"/>
  <c r="BA123" i="33"/>
  <c r="BA169" i="33" s="1"/>
  <c r="BO132" i="33"/>
  <c r="BO121" i="33"/>
  <c r="BO167" i="33" s="1"/>
  <c r="BE134" i="33"/>
  <c r="BE123" i="33"/>
  <c r="BE169" i="33" s="1"/>
  <c r="BC133" i="33"/>
  <c r="BC122" i="33"/>
  <c r="BC168" i="33" s="1"/>
  <c r="BF124" i="33"/>
  <c r="BF170" i="33" s="1"/>
  <c r="BF135" i="33"/>
  <c r="AZ134" i="33"/>
  <c r="AZ123" i="33"/>
  <c r="AZ169" i="33" s="1"/>
  <c r="DM178" i="33"/>
  <c r="DP178" i="33"/>
  <c r="BE135" i="33"/>
  <c r="BE124" i="33"/>
  <c r="BE170" i="33" s="1"/>
  <c r="AY134" i="33"/>
  <c r="AY123" i="33"/>
  <c r="AY169" i="33" s="1"/>
  <c r="BS133" i="33"/>
  <c r="BS122" i="33"/>
  <c r="BS168" i="33" s="1"/>
  <c r="BP123" i="33"/>
  <c r="BP169" i="33" s="1"/>
  <c r="BP134" i="33"/>
  <c r="AV135" i="33"/>
  <c r="AV124" i="33"/>
  <c r="AV170" i="33" s="1"/>
  <c r="BR135" i="33"/>
  <c r="BR124" i="33"/>
  <c r="BR170" i="33" s="1"/>
  <c r="CV132" i="33"/>
  <c r="CV121" i="33"/>
  <c r="CV167" i="33" s="1"/>
  <c r="CV178" i="33" s="1"/>
  <c r="CC133" i="33"/>
  <c r="CC122" i="33"/>
  <c r="CC168" i="33" s="1"/>
  <c r="EA142" i="33"/>
  <c r="EA145" i="33"/>
  <c r="EA143" i="33"/>
  <c r="EA144" i="33"/>
  <c r="DW145" i="33"/>
  <c r="DW142" i="33"/>
  <c r="DW144" i="33"/>
  <c r="DW143" i="33"/>
  <c r="BM134" i="33"/>
  <c r="BM123" i="33"/>
  <c r="BM169" i="33" s="1"/>
  <c r="DX178" i="33"/>
  <c r="CB132" i="33"/>
  <c r="CB121" i="33"/>
  <c r="CB167" i="33" s="1"/>
  <c r="CW133" i="33"/>
  <c r="CW122" i="33"/>
  <c r="CW168" i="33" s="1"/>
  <c r="BQ134" i="33"/>
  <c r="BQ123" i="33"/>
  <c r="BQ169" i="33" s="1"/>
  <c r="BI143" i="33"/>
  <c r="BI144" i="33"/>
  <c r="BI142" i="33"/>
  <c r="BI145" i="33"/>
  <c r="BA160" i="33"/>
  <c r="BA161" i="33" s="1"/>
  <c r="BA162" i="33" s="1"/>
  <c r="BB160" i="33"/>
  <c r="BB161" i="33" s="1"/>
  <c r="BB162" i="33" s="1"/>
  <c r="DV178" i="33"/>
  <c r="BH178" i="33"/>
  <c r="BD135" i="33"/>
  <c r="BD124" i="33"/>
  <c r="BD170" i="33" s="1"/>
  <c r="BO134" i="33"/>
  <c r="BO123" i="33"/>
  <c r="BO169" i="33" s="1"/>
  <c r="CY132" i="33"/>
  <c r="CY121" i="33"/>
  <c r="CY167" i="33" s="1"/>
  <c r="BF134" i="33"/>
  <c r="BF123" i="33"/>
  <c r="BF169" i="33" s="1"/>
  <c r="BS135" i="33"/>
  <c r="BS124" i="33"/>
  <c r="BS170" i="33" s="1"/>
  <c r="AX123" i="33"/>
  <c r="AX169" i="33" s="1"/>
  <c r="AX134" i="33"/>
  <c r="CN143" i="33"/>
  <c r="CN145" i="33"/>
  <c r="CN142" i="33"/>
  <c r="CN144" i="33"/>
  <c r="AY135" i="33"/>
  <c r="AY124" i="33"/>
  <c r="AY170" i="33" s="1"/>
  <c r="BD133" i="33"/>
  <c r="BD122" i="33"/>
  <c r="BD168" i="33" s="1"/>
  <c r="DM142" i="33"/>
  <c r="DM145" i="33"/>
  <c r="DM143" i="33"/>
  <c r="DM144" i="33"/>
  <c r="DP145" i="33"/>
  <c r="DP144" i="33"/>
  <c r="DP143" i="33"/>
  <c r="DP142" i="33"/>
  <c r="BD121" i="33"/>
  <c r="BD167" i="33" s="1"/>
  <c r="BD132" i="33"/>
  <c r="BB133" i="33"/>
  <c r="BB122" i="33"/>
  <c r="BB168" i="33" s="1"/>
  <c r="CI132" i="33"/>
  <c r="CI121" i="33"/>
  <c r="CI167" i="33" s="1"/>
  <c r="CI178" i="33" s="1"/>
  <c r="DN178" i="33"/>
  <c r="DW178" i="33"/>
  <c r="DX142" i="33"/>
  <c r="DX144" i="33"/>
  <c r="DX145" i="33"/>
  <c r="DX143" i="33"/>
  <c r="BI178" i="33"/>
  <c r="AW132" i="33"/>
  <c r="AW121" i="33"/>
  <c r="AW167" i="33" s="1"/>
  <c r="AX122" i="33"/>
  <c r="AX168" i="33" s="1"/>
  <c r="AX133" i="33"/>
  <c r="BL123" i="33"/>
  <c r="BL169" i="33" s="1"/>
  <c r="BL178" i="33" s="1"/>
  <c r="BL134" i="33"/>
  <c r="BL145" i="33" s="1"/>
  <c r="BQ132" i="33"/>
  <c r="BQ121" i="33"/>
  <c r="BQ167" i="33" s="1"/>
  <c r="CD132" i="33"/>
  <c r="CD121" i="33"/>
  <c r="CD167" i="33" s="1"/>
  <c r="O257" i="33"/>
  <c r="BH145" i="33"/>
  <c r="BH143" i="33"/>
  <c r="BH142" i="33"/>
  <c r="BH144" i="33"/>
  <c r="BR122" i="33"/>
  <c r="BR168" i="33" s="1"/>
  <c r="BR133" i="33"/>
  <c r="DR178" i="33"/>
  <c r="BC124" i="33"/>
  <c r="BC170" i="33" s="1"/>
  <c r="BC135" i="33"/>
  <c r="BN121" i="33"/>
  <c r="BN167" i="33" s="1"/>
  <c r="BN132" i="33"/>
  <c r="BQ122" i="33"/>
  <c r="BQ168" i="33" s="1"/>
  <c r="BQ133" i="33"/>
  <c r="AW135" i="33"/>
  <c r="AW124" i="33"/>
  <c r="AW170" i="33" s="1"/>
  <c r="DN142" i="33"/>
  <c r="DN143" i="33"/>
  <c r="DN144" i="33"/>
  <c r="DN145" i="33"/>
  <c r="CR132" i="33"/>
  <c r="CR121" i="33"/>
  <c r="CR167" i="33" s="1"/>
  <c r="CR178" i="33" s="1"/>
  <c r="BJ178" i="33"/>
  <c r="BM121" i="33"/>
  <c r="BM167" i="33" s="1"/>
  <c r="BM132" i="33"/>
  <c r="DT178" i="33"/>
  <c r="BG145" i="33"/>
  <c r="BG143" i="33"/>
  <c r="BG142" i="33"/>
  <c r="BG144" i="33"/>
  <c r="BS132" i="33"/>
  <c r="BS121" i="33"/>
  <c r="BS167" i="33" s="1"/>
  <c r="DE142" i="33"/>
  <c r="DE145" i="33"/>
  <c r="DE143" i="33"/>
  <c r="DE144" i="33"/>
  <c r="AW160" i="33"/>
  <c r="AW161" i="33" s="1"/>
  <c r="AW162" i="33" s="1"/>
  <c r="BQ160" i="33"/>
  <c r="BQ161" i="33" s="1"/>
  <c r="BQ162" i="33" s="1"/>
  <c r="DJ178" i="33"/>
  <c r="AV121" i="33"/>
  <c r="AV167" i="33" s="1"/>
  <c r="AV132" i="33"/>
  <c r="BQ135" i="33"/>
  <c r="BQ124" i="33"/>
  <c r="BQ170" i="33" s="1"/>
  <c r="AZ122" i="33"/>
  <c r="AZ168" i="33" s="1"/>
  <c r="AZ133" i="33"/>
  <c r="CD122" i="33"/>
  <c r="CD168" i="33" s="1"/>
  <c r="CD133" i="33"/>
  <c r="BK123" i="33"/>
  <c r="BK169" i="33" s="1"/>
  <c r="BK134" i="33"/>
  <c r="BK142" i="33" s="1"/>
  <c r="CB133" i="33"/>
  <c r="CB122" i="33"/>
  <c r="CB168" i="33" s="1"/>
  <c r="BD123" i="33"/>
  <c r="BD169" i="33" s="1"/>
  <c r="BD134" i="33"/>
  <c r="BB135" i="33"/>
  <c r="BB124" i="33"/>
  <c r="BB170" i="33" s="1"/>
  <c r="CF132" i="33"/>
  <c r="CF121" i="33"/>
  <c r="CF167" i="33" s="1"/>
  <c r="BJ143" i="33"/>
  <c r="BJ145" i="33"/>
  <c r="BJ144" i="33"/>
  <c r="BJ142" i="33"/>
  <c r="DT143" i="33"/>
  <c r="DT142" i="33"/>
  <c r="DT145" i="33"/>
  <c r="DT144" i="33"/>
  <c r="BG178" i="33"/>
  <c r="BS160" i="33"/>
  <c r="BS161" i="33" s="1"/>
  <c r="BS162" i="33" s="1"/>
  <c r="DE178" i="33"/>
  <c r="AX135" i="33"/>
  <c r="AX124" i="33"/>
  <c r="AX170" i="33" s="1"/>
  <c r="BP133" i="33"/>
  <c r="BP122" i="33"/>
  <c r="BP168" i="33" s="1"/>
  <c r="DY143" i="33"/>
  <c r="DY144" i="33"/>
  <c r="DY145" i="33"/>
  <c r="DY142" i="33"/>
  <c r="DJ145" i="33"/>
  <c r="DJ144" i="33"/>
  <c r="DJ143" i="33"/>
  <c r="DJ142" i="33"/>
  <c r="AV160" i="33"/>
  <c r="AV161" i="33" s="1"/>
  <c r="AV162" i="33" s="1"/>
  <c r="BP121" i="33"/>
  <c r="BP167" i="33" s="1"/>
  <c r="BP132" i="33"/>
  <c r="BR132" i="33"/>
  <c r="BR121" i="33"/>
  <c r="BR167" i="33" s="1"/>
  <c r="CG132" i="33"/>
  <c r="CG121" i="33"/>
  <c r="CG167" i="33" s="1"/>
  <c r="DR143" i="33"/>
  <c r="DR144" i="33"/>
  <c r="DR142" i="33"/>
  <c r="DR145" i="33"/>
  <c r="CH132" i="33"/>
  <c r="CH121" i="33"/>
  <c r="CH167" i="33" s="1"/>
  <c r="CH178" i="33" s="1"/>
  <c r="AW122" i="33"/>
  <c r="AW168" i="33" s="1"/>
  <c r="AW133" i="33"/>
  <c r="CX132" i="33"/>
  <c r="CX121" i="33"/>
  <c r="CX167" i="33" s="1"/>
  <c r="CX122" i="33"/>
  <c r="CX168" i="33" s="1"/>
  <c r="CX133" i="33"/>
  <c r="CK132" i="33"/>
  <c r="CK121" i="33"/>
  <c r="CK167" i="33" s="1"/>
  <c r="CK178" i="33" s="1"/>
  <c r="BK178" i="33"/>
  <c r="BN134" i="33"/>
  <c r="BN123" i="33"/>
  <c r="BN169" i="33" s="1"/>
  <c r="CG133" i="33"/>
  <c r="CG122" i="33"/>
  <c r="CG168" i="33" s="1"/>
  <c r="DZ178" i="33"/>
  <c r="DU143" i="33"/>
  <c r="DU142" i="33"/>
  <c r="DU145" i="33"/>
  <c r="DU144" i="33"/>
  <c r="DK178" i="33"/>
  <c r="BE132" i="33"/>
  <c r="BE121" i="33"/>
  <c r="BE167" i="33" s="1"/>
  <c r="BA135" i="33"/>
  <c r="BA124" i="33"/>
  <c r="BA170" i="33" s="1"/>
  <c r="DL178" i="33"/>
  <c r="CO178" i="33"/>
  <c r="CE132" i="33"/>
  <c r="CE121" i="33"/>
  <c r="CE167" i="33" s="1"/>
  <c r="BS134" i="33"/>
  <c r="BS123" i="33"/>
  <c r="BS169" i="33" s="1"/>
  <c r="DY178" i="33"/>
  <c r="DQ178" i="33"/>
  <c r="CS132" i="33"/>
  <c r="CS121" i="33"/>
  <c r="CS167" i="33" s="1"/>
  <c r="CS178" i="33" s="1"/>
  <c r="CF133" i="33"/>
  <c r="CF122" i="33"/>
  <c r="CF168" i="33" s="1"/>
  <c r="BF132" i="33"/>
  <c r="BF121" i="33"/>
  <c r="BF167" i="33" s="1"/>
  <c r="AV123" i="33"/>
  <c r="AV169" i="33" s="1"/>
  <c r="AV134" i="33"/>
  <c r="CQ178" i="33"/>
  <c r="BA122" i="33"/>
  <c r="BA168" i="33" s="1"/>
  <c r="BA133" i="33"/>
  <c r="AZ121" i="33"/>
  <c r="AZ167" i="33" s="1"/>
  <c r="AZ132" i="33"/>
  <c r="CT132" i="33"/>
  <c r="CT121" i="33"/>
  <c r="CT167" i="33" s="1"/>
  <c r="CT178" i="33" s="1"/>
  <c r="AW123" i="33"/>
  <c r="AW169" i="33" s="1"/>
  <c r="AW134" i="33"/>
  <c r="CU132" i="33"/>
  <c r="CU121" i="33"/>
  <c r="CU167" i="33" s="1"/>
  <c r="CU178" i="33" s="1"/>
  <c r="AY133" i="33"/>
  <c r="AY122" i="33"/>
  <c r="AY168" i="33" s="1"/>
  <c r="X208" i="33"/>
  <c r="X207" i="33"/>
  <c r="X209" i="33"/>
  <c r="Z209" i="33" s="1"/>
  <c r="BK144" i="33"/>
  <c r="DZ145" i="33"/>
  <c r="DZ144" i="33"/>
  <c r="DZ143" i="33"/>
  <c r="DZ142" i="33"/>
  <c r="DF144" i="33"/>
  <c r="DF142" i="33"/>
  <c r="DF145" i="33"/>
  <c r="DF143" i="33"/>
  <c r="DI143" i="33"/>
  <c r="DI142" i="33"/>
  <c r="DI145" i="33"/>
  <c r="DI144" i="33"/>
  <c r="DO144" i="33"/>
  <c r="DO143" i="33"/>
  <c r="DO145" i="33"/>
  <c r="DO142" i="33"/>
  <c r="CW132" i="33"/>
  <c r="CW121" i="33"/>
  <c r="CW167" i="33" s="1"/>
  <c r="AX121" i="33"/>
  <c r="AX167" i="33" s="1"/>
  <c r="AX132" i="33"/>
  <c r="BC134" i="33"/>
  <c r="BC123" i="33"/>
  <c r="BC169" i="33" s="1"/>
  <c r="BP135" i="33"/>
  <c r="BP124" i="33"/>
  <c r="BP170" i="33" s="1"/>
  <c r="CN178" i="33"/>
  <c r="DU178" i="33"/>
  <c r="DK144" i="33"/>
  <c r="DK145" i="33"/>
  <c r="DK143" i="33"/>
  <c r="DK142" i="33"/>
  <c r="BE160" i="33"/>
  <c r="BE161" i="33" s="1"/>
  <c r="BE162" i="33" s="1"/>
  <c r="DL145" i="33"/>
  <c r="DL143" i="33"/>
  <c r="DL142" i="33"/>
  <c r="DL144" i="33"/>
  <c r="CO143" i="33"/>
  <c r="CO142" i="33"/>
  <c r="CO144" i="33"/>
  <c r="CO145" i="33"/>
  <c r="CP178" i="33"/>
  <c r="CC132" i="33"/>
  <c r="CC121" i="33"/>
  <c r="CC167" i="33" s="1"/>
  <c r="BC132" i="33"/>
  <c r="BC121" i="33"/>
  <c r="BC167" i="33" s="1"/>
  <c r="BR134" i="33"/>
  <c r="BR123" i="33"/>
  <c r="BR169" i="33" s="1"/>
  <c r="CY133" i="33"/>
  <c r="CY122" i="33"/>
  <c r="CY168" i="33" s="1"/>
  <c r="DQ144" i="33"/>
  <c r="DQ145" i="33"/>
  <c r="DQ143" i="33"/>
  <c r="DQ142" i="33"/>
  <c r="BF160" i="33"/>
  <c r="BF161" i="33" s="1"/>
  <c r="BF162" i="33" s="1"/>
  <c r="CQ142" i="33"/>
  <c r="CQ143" i="33"/>
  <c r="CQ145" i="33"/>
  <c r="CQ144" i="33"/>
  <c r="AZ160" i="33"/>
  <c r="AZ161" i="33" s="1"/>
  <c r="AZ162" i="33" s="1"/>
  <c r="D67" i="33"/>
  <c r="C70" i="33"/>
  <c r="M115" i="32"/>
  <c r="F31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D87" i="32" s="1"/>
  <c r="K87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W12" i="32" s="1"/>
  <c r="Y85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CW178" i="33" l="1"/>
  <c r="DS146" i="33"/>
  <c r="DS147" i="33" s="1"/>
  <c r="BL144" i="33"/>
  <c r="DG146" i="33"/>
  <c r="BE178" i="33"/>
  <c r="DW146" i="33"/>
  <c r="DW148" i="33" s="1"/>
  <c r="CC178" i="33"/>
  <c r="BL143" i="33"/>
  <c r="BL142" i="33"/>
  <c r="BM178" i="33"/>
  <c r="CX145" i="33"/>
  <c r="BF178" i="33"/>
  <c r="DR146" i="33"/>
  <c r="DR148" i="33" s="1"/>
  <c r="BJ146" i="33"/>
  <c r="BJ148" i="33" s="1"/>
  <c r="BG146" i="33"/>
  <c r="BG147" i="33" s="1"/>
  <c r="CE178" i="33"/>
  <c r="CF178" i="33"/>
  <c r="DE146" i="33"/>
  <c r="DE147" i="33" s="1"/>
  <c r="DX146" i="33"/>
  <c r="DX148" i="33" s="1"/>
  <c r="DM146" i="33"/>
  <c r="DY146" i="33"/>
  <c r="DY148" i="33" s="1"/>
  <c r="CD143" i="33"/>
  <c r="DK146" i="33"/>
  <c r="DK147" i="33" s="1"/>
  <c r="BC145" i="33"/>
  <c r="BD178" i="33"/>
  <c r="BO178" i="33"/>
  <c r="BI146" i="33"/>
  <c r="CY143" i="33"/>
  <c r="CY142" i="33"/>
  <c r="CY145" i="33"/>
  <c r="CY144" i="33"/>
  <c r="CQ146" i="33"/>
  <c r="DF146" i="33"/>
  <c r="BK143" i="33"/>
  <c r="CS142" i="33"/>
  <c r="CS143" i="33"/>
  <c r="CS144" i="33"/>
  <c r="CS145" i="33"/>
  <c r="DU146" i="33"/>
  <c r="BR178" i="33"/>
  <c r="CF143" i="33"/>
  <c r="CF145" i="33"/>
  <c r="CF142" i="33"/>
  <c r="CF144" i="33"/>
  <c r="AV178" i="33"/>
  <c r="BS178" i="33"/>
  <c r="BM145" i="33"/>
  <c r="BM144" i="33"/>
  <c r="BM143" i="33"/>
  <c r="BM142" i="33"/>
  <c r="DN146" i="33"/>
  <c r="DP146" i="33"/>
  <c r="CB178" i="33"/>
  <c r="CV145" i="33"/>
  <c r="CV144" i="33"/>
  <c r="CV143" i="33"/>
  <c r="CV142" i="33"/>
  <c r="BO142" i="33"/>
  <c r="BO145" i="33"/>
  <c r="BO144" i="33"/>
  <c r="BO143" i="33"/>
  <c r="BB178" i="33"/>
  <c r="CU143" i="33"/>
  <c r="CU144" i="33"/>
  <c r="CU145" i="33"/>
  <c r="CU142" i="33"/>
  <c r="AV144" i="33"/>
  <c r="AV145" i="33"/>
  <c r="AV142" i="33"/>
  <c r="AV143" i="33"/>
  <c r="CM142" i="33"/>
  <c r="CM145" i="33"/>
  <c r="CM144" i="33"/>
  <c r="CM143" i="33"/>
  <c r="CO146" i="33"/>
  <c r="CK142" i="33"/>
  <c r="CK145" i="33"/>
  <c r="CK144" i="33"/>
  <c r="CK143" i="33"/>
  <c r="CH144" i="33"/>
  <c r="CH143" i="33"/>
  <c r="CH145" i="33"/>
  <c r="CH142" i="33"/>
  <c r="BR143" i="33"/>
  <c r="BR142" i="33"/>
  <c r="BR144" i="33"/>
  <c r="DY147" i="33"/>
  <c r="BS143" i="33"/>
  <c r="BS145" i="33"/>
  <c r="BS142" i="33"/>
  <c r="BS144" i="33"/>
  <c r="CD178" i="33"/>
  <c r="AW178" i="33"/>
  <c r="BI147" i="33"/>
  <c r="BI148" i="33"/>
  <c r="CB143" i="33"/>
  <c r="CB142" i="33"/>
  <c r="CB144" i="33"/>
  <c r="CB145" i="33"/>
  <c r="BF142" i="33"/>
  <c r="DV146" i="33"/>
  <c r="BB143" i="33"/>
  <c r="BB145" i="33"/>
  <c r="BB144" i="33"/>
  <c r="BB142" i="33"/>
  <c r="CP146" i="33"/>
  <c r="DQ146" i="33"/>
  <c r="BC178" i="33"/>
  <c r="AX142" i="33"/>
  <c r="AX144" i="33"/>
  <c r="AX143" i="33"/>
  <c r="AX145" i="33"/>
  <c r="DZ146" i="33"/>
  <c r="BP144" i="33"/>
  <c r="BP142" i="33"/>
  <c r="BP143" i="33"/>
  <c r="BP145" i="33"/>
  <c r="BR145" i="33"/>
  <c r="CD144" i="33"/>
  <c r="CD145" i="33"/>
  <c r="CD142" i="33"/>
  <c r="AW145" i="33"/>
  <c r="AW142" i="33"/>
  <c r="AW143" i="33"/>
  <c r="AW144" i="33"/>
  <c r="BA143" i="33"/>
  <c r="BA145" i="33"/>
  <c r="BA142" i="33"/>
  <c r="BA144" i="33"/>
  <c r="DG148" i="33"/>
  <c r="DG147" i="33"/>
  <c r="DM148" i="33"/>
  <c r="DM147" i="33"/>
  <c r="BC144" i="33"/>
  <c r="BC142" i="33"/>
  <c r="BC143" i="33"/>
  <c r="AX178" i="33"/>
  <c r="CT144" i="33"/>
  <c r="CT145" i="33"/>
  <c r="CT143" i="33"/>
  <c r="CT142" i="33"/>
  <c r="DR147" i="33"/>
  <c r="BP178" i="33"/>
  <c r="BQ143" i="33"/>
  <c r="BQ178" i="33"/>
  <c r="CI143" i="33"/>
  <c r="CI142" i="33"/>
  <c r="CI145" i="33"/>
  <c r="CI144" i="33"/>
  <c r="CJ143" i="33"/>
  <c r="CJ145" i="33"/>
  <c r="CJ142" i="33"/>
  <c r="CJ144" i="33"/>
  <c r="BA178" i="33"/>
  <c r="EB146" i="33"/>
  <c r="CL145" i="33"/>
  <c r="CL144" i="33"/>
  <c r="CL142" i="33"/>
  <c r="CL143" i="33"/>
  <c r="DS148" i="33"/>
  <c r="DL146" i="33"/>
  <c r="DI146" i="33"/>
  <c r="AZ144" i="33"/>
  <c r="AZ142" i="33"/>
  <c r="AZ143" i="33"/>
  <c r="AZ145" i="33"/>
  <c r="BF143" i="33"/>
  <c r="BF145" i="33"/>
  <c r="BF144" i="33"/>
  <c r="BE142" i="33"/>
  <c r="BE143" i="33"/>
  <c r="BE144" i="33"/>
  <c r="BE145" i="33"/>
  <c r="CX178" i="33"/>
  <c r="CR144" i="33"/>
  <c r="CR142" i="33"/>
  <c r="CR145" i="33"/>
  <c r="CR143" i="33"/>
  <c r="BQ145" i="33"/>
  <c r="BQ142" i="33"/>
  <c r="BQ144" i="33"/>
  <c r="EA146" i="33"/>
  <c r="DH146" i="33"/>
  <c r="CC143" i="33"/>
  <c r="CC145" i="33"/>
  <c r="CC142" i="33"/>
  <c r="CC144" i="33"/>
  <c r="CW144" i="33"/>
  <c r="CW145" i="33"/>
  <c r="CW143" i="33"/>
  <c r="CW142" i="33"/>
  <c r="AZ178" i="33"/>
  <c r="CX142" i="33"/>
  <c r="CX144" i="33"/>
  <c r="CX143" i="33"/>
  <c r="DJ146" i="33"/>
  <c r="BN144" i="33"/>
  <c r="BN145" i="33"/>
  <c r="BN143" i="33"/>
  <c r="BN142" i="33"/>
  <c r="BH146" i="33"/>
  <c r="CN146" i="33"/>
  <c r="AY144" i="33"/>
  <c r="AY143" i="33"/>
  <c r="AY145" i="33"/>
  <c r="AY142" i="33"/>
  <c r="CG143" i="33"/>
  <c r="CG144" i="33"/>
  <c r="CG142" i="33"/>
  <c r="CG145" i="33"/>
  <c r="DO146" i="33"/>
  <c r="BK145" i="33"/>
  <c r="CE144" i="33"/>
  <c r="CE145" i="33"/>
  <c r="CE143" i="33"/>
  <c r="CE142" i="33"/>
  <c r="CG178" i="33"/>
  <c r="DT146" i="33"/>
  <c r="BN178" i="33"/>
  <c r="BD145" i="33"/>
  <c r="BD144" i="33"/>
  <c r="BD143" i="33"/>
  <c r="BD142" i="33"/>
  <c r="CY178" i="33"/>
  <c r="AY178" i="33"/>
  <c r="C84" i="33"/>
  <c r="D70" i="33"/>
  <c r="D84" i="33" s="1"/>
  <c r="C257" i="33"/>
  <c r="K15" i="32"/>
  <c r="B16" i="32"/>
  <c r="AF144" i="32"/>
  <c r="AF146" i="32" s="1"/>
  <c r="J15" i="32"/>
  <c r="B35" i="15"/>
  <c r="C35" i="31"/>
  <c r="AH135" i="32"/>
  <c r="AH137" i="32" s="1"/>
  <c r="M12" i="32"/>
  <c r="D11" i="32"/>
  <c r="D16" i="32"/>
  <c r="M16" i="32" s="1"/>
  <c r="AH144" i="32"/>
  <c r="AH146" i="32" s="1"/>
  <c r="M15" i="32"/>
  <c r="T14" i="22"/>
  <c r="C24" i="22" s="1"/>
  <c r="CC102" i="32"/>
  <c r="D95" i="32" s="1"/>
  <c r="K95" i="32" s="1"/>
  <c r="J95" i="32" s="1"/>
  <c r="AG144" i="32"/>
  <c r="AG146" i="32" s="1"/>
  <c r="L15" i="32"/>
  <c r="C16" i="32"/>
  <c r="L16" i="32" s="1"/>
  <c r="V12" i="32"/>
  <c r="Y84" i="32" s="1"/>
  <c r="D14" i="32"/>
  <c r="T12" i="32"/>
  <c r="B14" i="32"/>
  <c r="F33" i="31"/>
  <c r="AI39" i="24"/>
  <c r="AI41" i="24"/>
  <c r="AP41" i="24" s="1"/>
  <c r="AP41" i="25"/>
  <c r="AP54" i="25" s="1"/>
  <c r="CE94" i="32" s="1"/>
  <c r="F87" i="32" s="1"/>
  <c r="M87" i="32" s="1"/>
  <c r="AI40" i="24"/>
  <c r="AN27" i="18"/>
  <c r="AN54" i="18" s="1"/>
  <c r="CC92" i="32" s="1"/>
  <c r="D85" i="32" s="1"/>
  <c r="K85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W147" i="33" l="1"/>
  <c r="DW163" i="33" s="1"/>
  <c r="BJ147" i="33"/>
  <c r="BG148" i="33"/>
  <c r="BG163" i="33" s="1"/>
  <c r="DE148" i="33"/>
  <c r="DE163" i="33" s="1"/>
  <c r="DR163" i="33"/>
  <c r="BL146" i="33"/>
  <c r="BL148" i="33" s="1"/>
  <c r="CG146" i="33"/>
  <c r="CG147" i="33" s="1"/>
  <c r="BC146" i="33"/>
  <c r="BC148" i="33" s="1"/>
  <c r="DG163" i="33"/>
  <c r="DK148" i="33"/>
  <c r="DK163" i="33" s="1"/>
  <c r="CX146" i="33"/>
  <c r="CX147" i="33" s="1"/>
  <c r="DX147" i="33"/>
  <c r="DX163" i="33" s="1"/>
  <c r="BJ163" i="33"/>
  <c r="CD146" i="33"/>
  <c r="CD148" i="33" s="1"/>
  <c r="BB146" i="33"/>
  <c r="BB148" i="33" s="1"/>
  <c r="BI163" i="33"/>
  <c r="BQ146" i="33"/>
  <c r="BQ147" i="33" s="1"/>
  <c r="CF146" i="33"/>
  <c r="CF148" i="33" s="1"/>
  <c r="BK146" i="33"/>
  <c r="BK147" i="33" s="1"/>
  <c r="CB146" i="33"/>
  <c r="CB147" i="33" s="1"/>
  <c r="CK146" i="33"/>
  <c r="CK147" i="33" s="1"/>
  <c r="CE146" i="33"/>
  <c r="CE147" i="33" s="1"/>
  <c r="BN146" i="33"/>
  <c r="BN148" i="33" s="1"/>
  <c r="DS163" i="33"/>
  <c r="CH146" i="33"/>
  <c r="CH147" i="33" s="1"/>
  <c r="AY146" i="33"/>
  <c r="AY147" i="33" s="1"/>
  <c r="AV146" i="33"/>
  <c r="AV147" i="33" s="1"/>
  <c r="CO147" i="33"/>
  <c r="CO148" i="33"/>
  <c r="DU148" i="33"/>
  <c r="DU147" i="33"/>
  <c r="BD146" i="33"/>
  <c r="CW146" i="33"/>
  <c r="DH147" i="33"/>
  <c r="DH148" i="33"/>
  <c r="CJ146" i="33"/>
  <c r="CT146" i="33"/>
  <c r="DM163" i="33"/>
  <c r="CQ148" i="33"/>
  <c r="CQ147" i="33"/>
  <c r="BH147" i="33"/>
  <c r="BH148" i="33"/>
  <c r="BA146" i="33"/>
  <c r="CL146" i="33"/>
  <c r="AX146" i="33"/>
  <c r="DV147" i="33"/>
  <c r="DV148" i="33"/>
  <c r="DY163" i="33"/>
  <c r="DP148" i="33"/>
  <c r="DP147" i="33"/>
  <c r="DL148" i="33"/>
  <c r="DL147" i="33"/>
  <c r="CR146" i="33"/>
  <c r="DJ147" i="33"/>
  <c r="DJ148" i="33"/>
  <c r="AZ146" i="33"/>
  <c r="BF146" i="33"/>
  <c r="CM146" i="33"/>
  <c r="DN148" i="33"/>
  <c r="DN147" i="33"/>
  <c r="CS146" i="33"/>
  <c r="CY146" i="33"/>
  <c r="DZ148" i="33"/>
  <c r="DZ147" i="33"/>
  <c r="EA148" i="33"/>
  <c r="EA147" i="33"/>
  <c r="DO147" i="33"/>
  <c r="DO148" i="33"/>
  <c r="AW146" i="33"/>
  <c r="BP146" i="33"/>
  <c r="DQ147" i="33"/>
  <c r="DQ148" i="33"/>
  <c r="CU146" i="33"/>
  <c r="BO146" i="33"/>
  <c r="BM146" i="33"/>
  <c r="DT148" i="33"/>
  <c r="DT147" i="33"/>
  <c r="CN148" i="33"/>
  <c r="CN147" i="33"/>
  <c r="CC146" i="33"/>
  <c r="BE146" i="33"/>
  <c r="DI148" i="33"/>
  <c r="DI147" i="33"/>
  <c r="EB147" i="33"/>
  <c r="EB148" i="33"/>
  <c r="CI146" i="33"/>
  <c r="CP148" i="33"/>
  <c r="CP147" i="33"/>
  <c r="BS146" i="33"/>
  <c r="BR146" i="33"/>
  <c r="CV146" i="33"/>
  <c r="DF148" i="33"/>
  <c r="DF147" i="33"/>
  <c r="K14" i="32"/>
  <c r="AF141" i="32"/>
  <c r="AF143" i="32" s="1"/>
  <c r="Y82" i="32"/>
  <c r="T125" i="32"/>
  <c r="T6" i="32"/>
  <c r="B39" i="31"/>
  <c r="C39" i="31" s="1"/>
  <c r="D13" i="32"/>
  <c r="AH141" i="32"/>
  <c r="AH143" i="32" s="1"/>
  <c r="M14" i="32"/>
  <c r="K16" i="32"/>
  <c r="J16" i="32"/>
  <c r="AH132" i="32"/>
  <c r="AH134" i="32" s="1"/>
  <c r="M11" i="32"/>
  <c r="C259" i="33"/>
  <c r="D35" i="15"/>
  <c r="V125" i="32" s="1"/>
  <c r="C37" i="31"/>
  <c r="F37" i="31" s="1"/>
  <c r="B101" i="31" s="1"/>
  <c r="B13" i="32"/>
  <c r="F35" i="31"/>
  <c r="D260" i="33"/>
  <c r="D257" i="33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3" i="32" s="1"/>
  <c r="K83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BL147" i="33" l="1"/>
  <c r="CG148" i="33"/>
  <c r="CG163" i="33" s="1"/>
  <c r="BQ148" i="33"/>
  <c r="BL163" i="33"/>
  <c r="BN147" i="33"/>
  <c r="BN163" i="33" s="1"/>
  <c r="BC147" i="33"/>
  <c r="BC163" i="33" s="1"/>
  <c r="CX148" i="33"/>
  <c r="CX163" i="33" s="1"/>
  <c r="BK148" i="33"/>
  <c r="BK163" i="33" s="1"/>
  <c r="CK148" i="33"/>
  <c r="CK163" i="33" s="1"/>
  <c r="CD147" i="33"/>
  <c r="CD163" i="33" s="1"/>
  <c r="AV148" i="33"/>
  <c r="AV163" i="33" s="1"/>
  <c r="BB147" i="33"/>
  <c r="BB163" i="33" s="1"/>
  <c r="CQ163" i="33"/>
  <c r="CE148" i="33"/>
  <c r="CE163" i="33" s="1"/>
  <c r="DU163" i="33"/>
  <c r="CH148" i="33"/>
  <c r="CH163" i="33" s="1"/>
  <c r="CF147" i="33"/>
  <c r="CF163" i="33" s="1"/>
  <c r="CN163" i="33"/>
  <c r="CB148" i="33"/>
  <c r="CB163" i="33" s="1"/>
  <c r="AY148" i="33"/>
  <c r="AY163" i="33" s="1"/>
  <c r="DF163" i="33"/>
  <c r="DT163" i="33"/>
  <c r="BQ163" i="33"/>
  <c r="DL163" i="33"/>
  <c r="DZ163" i="33"/>
  <c r="DN163" i="33"/>
  <c r="DJ163" i="33"/>
  <c r="DP163" i="33"/>
  <c r="BH163" i="33"/>
  <c r="DH163" i="33"/>
  <c r="BS147" i="33"/>
  <c r="BS148" i="33"/>
  <c r="BE148" i="33"/>
  <c r="BE147" i="33"/>
  <c r="AW148" i="33"/>
  <c r="AW147" i="33"/>
  <c r="CW148" i="33"/>
  <c r="CW147" i="33"/>
  <c r="BR148" i="33"/>
  <c r="BR147" i="33"/>
  <c r="CP163" i="33"/>
  <c r="CC148" i="33"/>
  <c r="CC147" i="33"/>
  <c r="CM148" i="33"/>
  <c r="CM147" i="33"/>
  <c r="BA148" i="33"/>
  <c r="BA147" i="33"/>
  <c r="BD148" i="33"/>
  <c r="BD147" i="33"/>
  <c r="BM148" i="33"/>
  <c r="BM147" i="33"/>
  <c r="DO163" i="33"/>
  <c r="BF147" i="33"/>
  <c r="BF148" i="33"/>
  <c r="CR148" i="33"/>
  <c r="CR147" i="33"/>
  <c r="CI148" i="33"/>
  <c r="CI147" i="33"/>
  <c r="BO148" i="33"/>
  <c r="BO147" i="33"/>
  <c r="EA163" i="33"/>
  <c r="CY147" i="33"/>
  <c r="CY148" i="33"/>
  <c r="AZ148" i="33"/>
  <c r="AZ147" i="33"/>
  <c r="DV163" i="33"/>
  <c r="CU148" i="33"/>
  <c r="CU147" i="33"/>
  <c r="CS148" i="33"/>
  <c r="CS147" i="33"/>
  <c r="AX148" i="33"/>
  <c r="AX147" i="33"/>
  <c r="CT147" i="33"/>
  <c r="CT148" i="33"/>
  <c r="BP148" i="33"/>
  <c r="BP147" i="33"/>
  <c r="CJ148" i="33"/>
  <c r="CJ147" i="33"/>
  <c r="EB163" i="33"/>
  <c r="CV147" i="33"/>
  <c r="CV148" i="33"/>
  <c r="DI163" i="33"/>
  <c r="DQ163" i="33"/>
  <c r="CL148" i="33"/>
  <c r="CL147" i="33"/>
  <c r="CO163" i="33"/>
  <c r="D101" i="31"/>
  <c r="B120" i="31"/>
  <c r="D120" i="31" s="1"/>
  <c r="F39" i="31"/>
  <c r="AF129" i="32"/>
  <c r="AF131" i="32" s="1"/>
  <c r="K10" i="32"/>
  <c r="B5" i="32"/>
  <c r="B6" i="32" s="1"/>
  <c r="Z96" i="32"/>
  <c r="Z91" i="32"/>
  <c r="BM91" i="32" s="1"/>
  <c r="BM94" i="32" s="1"/>
  <c r="Z107" i="32"/>
  <c r="BO107" i="32" s="1"/>
  <c r="BO108" i="32" s="1"/>
  <c r="Z103" i="32"/>
  <c r="BK103" i="32" s="1"/>
  <c r="BK108" i="32" s="1"/>
  <c r="Z98" i="32"/>
  <c r="BM98" i="32" s="1"/>
  <c r="BM101" i="32" s="1"/>
  <c r="Z92" i="32"/>
  <c r="BN92" i="32" s="1"/>
  <c r="BN94" i="32" s="1"/>
  <c r="Z97" i="32"/>
  <c r="Z106" i="32"/>
  <c r="BN106" i="32" s="1"/>
  <c r="BN108" i="32" s="1"/>
  <c r="Z104" i="32"/>
  <c r="BL104" i="32" s="1"/>
  <c r="BL108" i="32" s="1"/>
  <c r="Z99" i="32"/>
  <c r="BN99" i="32" s="1"/>
  <c r="BN101" i="32" s="1"/>
  <c r="Z89" i="32"/>
  <c r="BK89" i="32" s="1"/>
  <c r="BK94" i="32" s="1"/>
  <c r="Z93" i="32"/>
  <c r="BO93" i="32" s="1"/>
  <c r="BO94" i="32" s="1"/>
  <c r="Z105" i="32"/>
  <c r="BM105" i="32" s="1"/>
  <c r="BM108" i="32" s="1"/>
  <c r="Z90" i="32"/>
  <c r="BL90" i="32" s="1"/>
  <c r="BL94" i="32" s="1"/>
  <c r="Z100" i="32"/>
  <c r="BO100" i="32" s="1"/>
  <c r="BO101" i="32" s="1"/>
  <c r="C260" i="33"/>
  <c r="B99" i="31"/>
  <c r="C138" i="33"/>
  <c r="D138" i="33" s="1"/>
  <c r="K13" i="32"/>
  <c r="AF138" i="32"/>
  <c r="AF140" i="32" s="1"/>
  <c r="AH126" i="32"/>
  <c r="AH128" i="32" s="1"/>
  <c r="M9" i="32"/>
  <c r="AH129" i="32"/>
  <c r="AH131" i="32" s="1"/>
  <c r="M10" i="32"/>
  <c r="C137" i="33"/>
  <c r="D137" i="33" s="1"/>
  <c r="AF126" i="32"/>
  <c r="AF128" i="32" s="1"/>
  <c r="K9" i="32"/>
  <c r="D259" i="33"/>
  <c r="C283" i="33"/>
  <c r="AH138" i="32"/>
  <c r="AH140" i="32" s="1"/>
  <c r="M13" i="32"/>
  <c r="AK54" i="26"/>
  <c r="B42" i="15"/>
  <c r="B12" i="32" s="1"/>
  <c r="B61" i="15"/>
  <c r="B46" i="15"/>
  <c r="B11" i="32" s="1"/>
  <c r="B58" i="15"/>
  <c r="AZ163" i="33" l="1"/>
  <c r="BD163" i="33"/>
  <c r="BM163" i="33"/>
  <c r="CC163" i="33"/>
  <c r="CJ163" i="33"/>
  <c r="CS163" i="33"/>
  <c r="CW163" i="33"/>
  <c r="BP163" i="33"/>
  <c r="CU163" i="33"/>
  <c r="AW163" i="33"/>
  <c r="CY163" i="33"/>
  <c r="AX163" i="33"/>
  <c r="CR163" i="33"/>
  <c r="BR163" i="33"/>
  <c r="CM163" i="33"/>
  <c r="BO163" i="33"/>
  <c r="D250" i="33"/>
  <c r="D283" i="33" s="1"/>
  <c r="BF163" i="33"/>
  <c r="CV163" i="33"/>
  <c r="CT163" i="33"/>
  <c r="CI163" i="33"/>
  <c r="BE163" i="33"/>
  <c r="CL163" i="33"/>
  <c r="BA163" i="33"/>
  <c r="BS163" i="33"/>
  <c r="AC96" i="32"/>
  <c r="AC101" i="32" s="1"/>
  <c r="BZ90" i="32" s="1"/>
  <c r="BK96" i="32"/>
  <c r="BK101" i="32" s="1"/>
  <c r="AG97" i="32"/>
  <c r="AG101" i="32" s="1"/>
  <c r="BZ94" i="32" s="1"/>
  <c r="BL97" i="32"/>
  <c r="BL101" i="32" s="1"/>
  <c r="AH147" i="32"/>
  <c r="V126" i="32" s="1"/>
  <c r="B103" i="31"/>
  <c r="B118" i="31" s="1"/>
  <c r="C261" i="33"/>
  <c r="D261" i="33" s="1"/>
  <c r="AF132" i="32"/>
  <c r="AF134" i="32" s="1"/>
  <c r="K11" i="32"/>
  <c r="AF135" i="32"/>
  <c r="AF137" i="32" s="1"/>
  <c r="K12" i="32"/>
  <c r="D99" i="31"/>
  <c r="C149" i="33"/>
  <c r="D149" i="33" s="1"/>
  <c r="T134" i="32"/>
  <c r="K112" i="32" s="1"/>
  <c r="K6" i="32"/>
  <c r="J6" i="32"/>
  <c r="C148" i="33"/>
  <c r="D148" i="33" s="1"/>
  <c r="K5" i="32"/>
  <c r="J5" i="32"/>
  <c r="B49" i="15"/>
  <c r="Y49" i="32" s="1"/>
  <c r="AC49" i="32" s="1"/>
  <c r="D249" i="33" l="1"/>
  <c r="D248" i="33"/>
  <c r="D281" i="33" s="1"/>
  <c r="D284" i="33" s="1"/>
  <c r="C197" i="33"/>
  <c r="D197" i="33" s="1"/>
  <c r="C281" i="33"/>
  <c r="C284" i="33" s="1"/>
  <c r="AF147" i="32"/>
  <c r="T126" i="32" s="1"/>
  <c r="D118" i="31"/>
  <c r="C195" i="33"/>
  <c r="D195" i="33" s="1"/>
  <c r="J112" i="32"/>
  <c r="D103" i="31"/>
  <c r="B106" i="31"/>
  <c r="T9" i="7"/>
  <c r="T12" i="7"/>
  <c r="T13" i="7"/>
  <c r="T16" i="7"/>
  <c r="T17" i="7"/>
  <c r="T19" i="7"/>
  <c r="T20" i="7"/>
  <c r="T21" i="7"/>
  <c r="T23" i="7"/>
  <c r="T24" i="7"/>
  <c r="T25" i="7"/>
  <c r="T26" i="7"/>
  <c r="T32" i="7"/>
  <c r="T33" i="7"/>
  <c r="R3" i="7"/>
  <c r="R4" i="7"/>
  <c r="R5" i="7"/>
  <c r="R6" i="7"/>
  <c r="R22" i="7"/>
  <c r="R27" i="7"/>
  <c r="R28" i="7"/>
  <c r="R29" i="7"/>
  <c r="R30" i="7"/>
  <c r="R31" i="7"/>
  <c r="R34" i="7"/>
  <c r="R35" i="7"/>
  <c r="R2" i="7"/>
  <c r="BA3" i="30" s="1"/>
  <c r="Q3" i="7"/>
  <c r="Q4" i="7"/>
  <c r="Q5" i="7"/>
  <c r="Q6" i="7"/>
  <c r="Q22" i="7"/>
  <c r="Q27" i="7"/>
  <c r="Q28" i="7"/>
  <c r="Q29" i="7"/>
  <c r="Q30" i="7"/>
  <c r="Q31" i="7"/>
  <c r="Q34" i="7"/>
  <c r="Q35" i="7"/>
  <c r="J31" i="7" l="1"/>
  <c r="K31" i="7" s="1"/>
  <c r="M31" i="7"/>
  <c r="M16" i="7" l="1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2" i="7"/>
  <c r="M33" i="7"/>
  <c r="M34" i="7"/>
  <c r="M35" i="7"/>
  <c r="J21" i="7"/>
  <c r="J34" i="7"/>
  <c r="K34" i="7" s="1"/>
  <c r="J33" i="7"/>
  <c r="K33" i="7" s="1"/>
  <c r="J27" i="7"/>
  <c r="K27" i="7" s="1"/>
  <c r="J28" i="7"/>
  <c r="K28" i="7" s="1"/>
  <c r="J29" i="7"/>
  <c r="K29" i="7" s="1"/>
  <c r="J30" i="7"/>
  <c r="K30" i="7" s="1"/>
  <c r="M62" i="7" l="1"/>
  <c r="T34" i="7"/>
  <c r="J35" i="7" l="1"/>
  <c r="K35" i="7" s="1"/>
  <c r="J32" i="7"/>
  <c r="K32" i="7" s="1"/>
  <c r="AB11" i="7"/>
  <c r="J26" i="7"/>
  <c r="J25" i="7"/>
  <c r="K25" i="7" s="1"/>
  <c r="J24" i="7"/>
  <c r="K24" i="7" s="1"/>
  <c r="J23" i="7"/>
  <c r="K23" i="7" s="1"/>
  <c r="J22" i="7"/>
  <c r="K22" i="7" s="1"/>
  <c r="K21" i="7"/>
  <c r="J20" i="7"/>
  <c r="K20" i="7" s="1"/>
  <c r="J19" i="7"/>
  <c r="K19" i="7" s="1"/>
  <c r="L19" i="7" s="1"/>
  <c r="J18" i="7"/>
  <c r="K18" i="7" s="1"/>
  <c r="L18" i="7" s="1"/>
  <c r="J17" i="7"/>
  <c r="K17" i="7" s="1"/>
  <c r="J16" i="7"/>
  <c r="K16" i="7" s="1"/>
  <c r="S15" i="7"/>
  <c r="BB16" i="30" s="1"/>
  <c r="S14" i="7"/>
  <c r="S8" i="7"/>
  <c r="BB9" i="30" s="1"/>
  <c r="S7" i="7"/>
  <c r="BI31" i="30" l="1"/>
  <c r="AP5" i="30" s="1"/>
  <c r="U9" i="7"/>
  <c r="S9" i="7"/>
  <c r="U13" i="7"/>
  <c r="S13" i="7"/>
  <c r="U19" i="7"/>
  <c r="S19" i="7"/>
  <c r="U18" i="7"/>
  <c r="S18" i="7"/>
  <c r="T18" i="7"/>
  <c r="U10" i="7"/>
  <c r="S10" i="7"/>
  <c r="T10" i="7"/>
  <c r="J62" i="7"/>
  <c r="U7" i="7"/>
  <c r="T7" i="7"/>
  <c r="U8" i="7"/>
  <c r="T8" i="7"/>
  <c r="BC9" i="30" s="1"/>
  <c r="U14" i="7"/>
  <c r="T14" i="7"/>
  <c r="U15" i="7"/>
  <c r="T15" i="7"/>
  <c r="BC16" i="30" s="1"/>
  <c r="L60" i="7"/>
  <c r="L56" i="7"/>
  <c r="L43" i="7"/>
  <c r="L59" i="7"/>
  <c r="L39" i="7"/>
  <c r="L53" i="7"/>
  <c r="L44" i="7"/>
  <c r="L47" i="7"/>
  <c r="L45" i="7"/>
  <c r="L48" i="7"/>
  <c r="L50" i="7"/>
  <c r="L61" i="7"/>
  <c r="L58" i="7"/>
  <c r="L42" i="7"/>
  <c r="L40" i="7"/>
  <c r="L37" i="7"/>
  <c r="L55" i="7"/>
  <c r="L51" i="7"/>
  <c r="L57" i="7"/>
  <c r="L41" i="7"/>
  <c r="L38" i="7"/>
  <c r="L54" i="7"/>
  <c r="L36" i="7"/>
  <c r="L49" i="7"/>
  <c r="L46" i="7"/>
  <c r="L52" i="7"/>
  <c r="L31" i="7"/>
  <c r="L34" i="7"/>
  <c r="Q14" i="7"/>
  <c r="R14" i="7"/>
  <c r="R7" i="7"/>
  <c r="R15" i="7"/>
  <c r="BA16" i="30" s="1"/>
  <c r="Q15" i="7"/>
  <c r="R8" i="7"/>
  <c r="BA9" i="30" s="1"/>
  <c r="Q8" i="7"/>
  <c r="R18" i="7"/>
  <c r="Q18" i="7"/>
  <c r="Q10" i="7"/>
  <c r="R10" i="7"/>
  <c r="Q9" i="7"/>
  <c r="R9" i="7"/>
  <c r="Q13" i="7"/>
  <c r="R13" i="7"/>
  <c r="Q19" i="7"/>
  <c r="R19" i="7"/>
  <c r="T31" i="7"/>
  <c r="L21" i="7"/>
  <c r="K26" i="7"/>
  <c r="L22" i="7"/>
  <c r="L33" i="7"/>
  <c r="L28" i="7"/>
  <c r="L27" i="7"/>
  <c r="L29" i="7"/>
  <c r="L30" i="7"/>
  <c r="L23" i="7"/>
  <c r="L25" i="7"/>
  <c r="L32" i="7"/>
  <c r="L16" i="7"/>
  <c r="L20" i="7"/>
  <c r="L24" i="7"/>
  <c r="L35" i="7"/>
  <c r="K2" i="7"/>
  <c r="K62" i="7" s="1"/>
  <c r="L17" i="7"/>
  <c r="U57" i="7" l="1"/>
  <c r="S57" i="7"/>
  <c r="U22" i="7"/>
  <c r="S22" i="7"/>
  <c r="U48" i="7"/>
  <c r="S48" i="7"/>
  <c r="U23" i="7"/>
  <c r="S23" i="7"/>
  <c r="U46" i="7"/>
  <c r="S46" i="7"/>
  <c r="U55" i="7"/>
  <c r="S55" i="7"/>
  <c r="U45" i="7"/>
  <c r="S45" i="7"/>
  <c r="U60" i="7"/>
  <c r="S60" i="7"/>
  <c r="U33" i="7"/>
  <c r="S33" i="7"/>
  <c r="U37" i="7"/>
  <c r="S37" i="7"/>
  <c r="U43" i="7"/>
  <c r="S43" i="7"/>
  <c r="U12" i="7"/>
  <c r="S12" i="7"/>
  <c r="U51" i="7"/>
  <c r="S51" i="7"/>
  <c r="U4" i="7"/>
  <c r="S4" i="7"/>
  <c r="U24" i="7"/>
  <c r="S24" i="7"/>
  <c r="U30" i="7"/>
  <c r="S30" i="7"/>
  <c r="U21" i="7"/>
  <c r="S21" i="7"/>
  <c r="U36" i="7"/>
  <c r="S36" i="7"/>
  <c r="U40" i="7"/>
  <c r="S40" i="7"/>
  <c r="U44" i="7"/>
  <c r="S44" i="7"/>
  <c r="U35" i="7"/>
  <c r="S35" i="7"/>
  <c r="U31" i="7"/>
  <c r="S31" i="7"/>
  <c r="U56" i="7"/>
  <c r="S56" i="7"/>
  <c r="U49" i="7"/>
  <c r="S49" i="7"/>
  <c r="U20" i="7"/>
  <c r="S20" i="7"/>
  <c r="U29" i="7"/>
  <c r="S29" i="7"/>
  <c r="U54" i="7"/>
  <c r="S54" i="7"/>
  <c r="U42" i="7"/>
  <c r="S42" i="7"/>
  <c r="U53" i="7"/>
  <c r="S53" i="7"/>
  <c r="U25" i="7"/>
  <c r="S25" i="7"/>
  <c r="U50" i="7"/>
  <c r="S50" i="7"/>
  <c r="U3" i="7"/>
  <c r="S3" i="7"/>
  <c r="U52" i="7"/>
  <c r="S52" i="7"/>
  <c r="U47" i="7"/>
  <c r="S47" i="7"/>
  <c r="U27" i="7"/>
  <c r="S27" i="7"/>
  <c r="U38" i="7"/>
  <c r="S38" i="7"/>
  <c r="U58" i="7"/>
  <c r="S58" i="7"/>
  <c r="U39" i="7"/>
  <c r="S39" i="7"/>
  <c r="U32" i="7"/>
  <c r="S32" i="7"/>
  <c r="U28" i="7"/>
  <c r="S28" i="7"/>
  <c r="U34" i="7"/>
  <c r="S34" i="7"/>
  <c r="U41" i="7"/>
  <c r="S41" i="7"/>
  <c r="U61" i="7"/>
  <c r="S61" i="7"/>
  <c r="U59" i="7"/>
  <c r="S59" i="7"/>
  <c r="U17" i="7"/>
  <c r="S17" i="7"/>
  <c r="U16" i="7"/>
  <c r="S16" i="7"/>
  <c r="U6" i="7"/>
  <c r="S6" i="7"/>
  <c r="U5" i="7"/>
  <c r="S5" i="7"/>
  <c r="U11" i="7"/>
  <c r="S11" i="7"/>
  <c r="T11" i="7"/>
  <c r="Q24" i="7"/>
  <c r="R24" i="7"/>
  <c r="T5" i="7"/>
  <c r="Q17" i="7"/>
  <c r="R17" i="7"/>
  <c r="Q20" i="7"/>
  <c r="R20" i="7"/>
  <c r="Q16" i="7"/>
  <c r="R16" i="7"/>
  <c r="T35" i="7"/>
  <c r="Q25" i="7"/>
  <c r="R25" i="7"/>
  <c r="T28" i="7"/>
  <c r="R21" i="7"/>
  <c r="Q21" i="7"/>
  <c r="R12" i="7"/>
  <c r="Q12" i="7"/>
  <c r="T3" i="7"/>
  <c r="T30" i="7"/>
  <c r="Q33" i="7"/>
  <c r="R33" i="7"/>
  <c r="Q11" i="7"/>
  <c r="R11" i="7"/>
  <c r="Q23" i="7"/>
  <c r="R23" i="7"/>
  <c r="T29" i="7"/>
  <c r="T22" i="7"/>
  <c r="T6" i="7"/>
  <c r="Q32" i="7"/>
  <c r="R32" i="7"/>
  <c r="T27" i="7"/>
  <c r="L26" i="7"/>
  <c r="L2" i="7"/>
  <c r="U26" i="7" l="1"/>
  <c r="S26" i="7"/>
  <c r="S2" i="7"/>
  <c r="BB3" i="30" s="1"/>
  <c r="BH3" i="30" s="1"/>
  <c r="BH31" i="30" s="1"/>
  <c r="AP6" i="30" s="1"/>
  <c r="T2" i="7"/>
  <c r="BC3" i="30" s="1"/>
  <c r="R62" i="7"/>
  <c r="Z16" i="7" s="1"/>
  <c r="Q62" i="7"/>
  <c r="U2" i="7"/>
  <c r="U62" i="7" s="1"/>
  <c r="L62" i="7"/>
  <c r="R26" i="7"/>
  <c r="Q26" i="7"/>
  <c r="AP4" i="30" l="1"/>
  <c r="AK26" i="30" s="1"/>
  <c r="C184" i="33" s="1"/>
  <c r="D184" i="33" s="1"/>
  <c r="D183" i="33" s="1"/>
  <c r="AJ216" i="33" s="1"/>
  <c r="AN216" i="33" s="1"/>
  <c r="D220" i="33" s="1"/>
  <c r="S62" i="7"/>
  <c r="T62" i="7"/>
  <c r="Z17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K225" i="33" l="1"/>
  <c r="AO225" i="33" s="1"/>
  <c r="AO228" i="33" s="1"/>
  <c r="AR228" i="33" s="1"/>
  <c r="AS228" i="33" s="1"/>
  <c r="AT228" i="33" s="1"/>
  <c r="AW228" i="33" s="1"/>
  <c r="D240" i="33" s="1"/>
  <c r="D192" i="33"/>
  <c r="D235" i="33" s="1"/>
  <c r="D236" i="33" s="1"/>
  <c r="F32" i="31"/>
  <c r="Q14" i="22"/>
  <c r="C21" i="22" s="1"/>
  <c r="CC99" i="32"/>
  <c r="D92" i="32" s="1"/>
  <c r="K92" i="32" s="1"/>
  <c r="J92" i="32" s="1"/>
  <c r="L115" i="32"/>
  <c r="C81" i="15"/>
  <c r="AI27" i="24" s="1"/>
  <c r="C78" i="15"/>
  <c r="AI24" i="24" s="1"/>
  <c r="C79" i="15"/>
  <c r="AI25" i="24" s="1"/>
  <c r="AR25" i="24" s="1"/>
  <c r="AR54" i="24" s="1"/>
  <c r="C77" i="15"/>
  <c r="AI23" i="24" s="1"/>
  <c r="AL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D276" i="33" l="1"/>
  <c r="D290" i="33" s="1"/>
  <c r="D177" i="18"/>
  <c r="D185" i="18" s="1"/>
  <c r="D216" i="18" s="1"/>
  <c r="I6" i="22" s="1"/>
  <c r="AU16" i="23" s="1"/>
  <c r="AU30" i="23" s="1"/>
  <c r="D164" i="18"/>
  <c r="BR37" i="23"/>
  <c r="F93" i="23" s="1"/>
  <c r="F95" i="23" s="1"/>
  <c r="BR36" i="23"/>
  <c r="E93" i="23" s="1"/>
  <c r="E95" i="23" s="1"/>
  <c r="BR35" i="23"/>
  <c r="D93" i="23" s="1"/>
  <c r="D95" i="23" s="1"/>
  <c r="BR39" i="23"/>
  <c r="H93" i="23" s="1"/>
  <c r="H95" i="23" s="1"/>
  <c r="C258" i="33"/>
  <c r="C35" i="15"/>
  <c r="U125" i="32" s="1"/>
  <c r="C36" i="31"/>
  <c r="F36" i="31" s="1"/>
  <c r="B100" i="31" s="1"/>
  <c r="J115" i="32"/>
  <c r="U12" i="32"/>
  <c r="Y83" i="32" s="1"/>
  <c r="C14" i="32"/>
  <c r="N14" i="22"/>
  <c r="C18" i="22" s="1"/>
  <c r="CD96" i="32"/>
  <c r="E89" i="32" s="1"/>
  <c r="L89" i="32" s="1"/>
  <c r="J89" i="32" s="1"/>
  <c r="AM24" i="24"/>
  <c r="AP24" i="24"/>
  <c r="AP54" i="24" s="1"/>
  <c r="X177" i="18"/>
  <c r="X164" i="18"/>
  <c r="W177" i="18"/>
  <c r="W164" i="18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E177" i="18"/>
  <c r="E185" i="18" s="1"/>
  <c r="E216" i="18" s="1"/>
  <c r="J6" i="22" s="1"/>
  <c r="AV16" i="23" s="1"/>
  <c r="AV30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T177" i="18"/>
  <c r="T164" i="18"/>
  <c r="F177" i="18"/>
  <c r="F185" i="18" s="1"/>
  <c r="F216" i="18" s="1"/>
  <c r="K6" i="22" s="1"/>
  <c r="AW16" i="23" s="1"/>
  <c r="AW31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G177" i="18"/>
  <c r="G185" i="18" s="1"/>
  <c r="G216" i="18" s="1"/>
  <c r="L6" i="22" s="1"/>
  <c r="AX16" i="23" s="1"/>
  <c r="AX31" i="23" s="1"/>
  <c r="G164" i="18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Q164" i="18"/>
  <c r="Q172" i="18" s="1"/>
  <c r="Q215" i="18" s="1"/>
  <c r="Y177" i="18"/>
  <c r="Y164" i="18"/>
  <c r="Y172" i="18" s="1"/>
  <c r="Y215" i="18" s="1"/>
  <c r="AD5" i="22" s="1"/>
  <c r="BP15" i="23" s="1"/>
  <c r="BP22" i="23" s="1"/>
  <c r="R177" i="18"/>
  <c r="R185" i="18" s="1"/>
  <c r="R216" i="18" s="1"/>
  <c r="W6" i="22" s="1"/>
  <c r="BI16" i="23" s="1"/>
  <c r="BI29" i="23" s="1"/>
  <c r="R164" i="18"/>
  <c r="R172" i="18" s="1"/>
  <c r="R215" i="18" s="1"/>
  <c r="M177" i="18"/>
  <c r="M185" i="18" s="1"/>
  <c r="M216" i="18" s="1"/>
  <c r="R6" i="22" s="1"/>
  <c r="BD16" i="23" s="1"/>
  <c r="BD27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O172" i="18"/>
  <c r="O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N172" i="18"/>
  <c r="N215" i="18" s="1"/>
  <c r="B153" i="18"/>
  <c r="B192" i="18" s="1"/>
  <c r="B198" i="18" s="1"/>
  <c r="AA140" i="18"/>
  <c r="P172" i="18"/>
  <c r="P215" i="18" s="1"/>
  <c r="T158" i="18"/>
  <c r="C52" i="15"/>
  <c r="C24" i="15"/>
  <c r="C39" i="15"/>
  <c r="C10" i="32" s="1"/>
  <c r="C43" i="15"/>
  <c r="C9" i="32" s="1"/>
  <c r="Q201" i="18" l="1"/>
  <c r="Q211" i="18" s="1"/>
  <c r="Q218" i="18" s="1"/>
  <c r="V9" i="22" s="1"/>
  <c r="O201" i="18"/>
  <c r="O211" i="18" s="1"/>
  <c r="O218" i="18" s="1"/>
  <c r="T9" i="22" s="1"/>
  <c r="R201" i="18"/>
  <c r="R211" i="18" s="1"/>
  <c r="R218" i="18" s="1"/>
  <c r="W9" i="22" s="1"/>
  <c r="D172" i="18"/>
  <c r="D215" i="18" s="1"/>
  <c r="F172" i="18"/>
  <c r="F215" i="18" s="1"/>
  <c r="K5" i="22" s="1"/>
  <c r="C29" i="32"/>
  <c r="J29" i="32" s="1"/>
  <c r="B119" i="32"/>
  <c r="J119" i="32" s="1"/>
  <c r="BR31" i="23"/>
  <c r="H83" i="23" s="1"/>
  <c r="H85" i="23" s="1"/>
  <c r="BR28" i="23"/>
  <c r="E83" i="23" s="1"/>
  <c r="E85" i="23" s="1"/>
  <c r="D100" i="31"/>
  <c r="B119" i="31"/>
  <c r="B102" i="31"/>
  <c r="G149" i="33"/>
  <c r="AG126" i="32"/>
  <c r="AG128" i="32" s="1"/>
  <c r="L9" i="32"/>
  <c r="J9" i="32"/>
  <c r="G154" i="33"/>
  <c r="C144" i="33" s="1"/>
  <c r="D144" i="33" s="1"/>
  <c r="AG141" i="32"/>
  <c r="AG143" i="32" s="1"/>
  <c r="L14" i="32"/>
  <c r="J14" i="32"/>
  <c r="L14" i="22"/>
  <c r="C16" i="22" s="1"/>
  <c r="CD94" i="32"/>
  <c r="E87" i="32" s="1"/>
  <c r="L87" i="32" s="1"/>
  <c r="J87" i="32" s="1"/>
  <c r="G150" i="33"/>
  <c r="AG129" i="32"/>
  <c r="AG131" i="32" s="1"/>
  <c r="L10" i="32"/>
  <c r="J10" i="32"/>
  <c r="C13" i="32"/>
  <c r="D258" i="33"/>
  <c r="D282" i="33" s="1"/>
  <c r="C282" i="33"/>
  <c r="G172" i="18"/>
  <c r="G215" i="18" s="1"/>
  <c r="L5" i="22" s="1"/>
  <c r="T185" i="18"/>
  <c r="T216" i="18" s="1"/>
  <c r="Y6" i="22" s="1"/>
  <c r="BK16" i="23" s="1"/>
  <c r="BK29" i="23" s="1"/>
  <c r="Y185" i="18"/>
  <c r="Y216" i="18" s="1"/>
  <c r="AD6" i="22" s="1"/>
  <c r="H172" i="18"/>
  <c r="H215" i="18" s="1"/>
  <c r="M5" i="22" s="1"/>
  <c r="N211" i="18"/>
  <c r="N218" i="18" s="1"/>
  <c r="S9" i="22" s="1"/>
  <c r="P211" i="18"/>
  <c r="P218" i="18" s="1"/>
  <c r="U9" i="22" s="1"/>
  <c r="E172" i="18"/>
  <c r="E215" i="18" s="1"/>
  <c r="J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M211" i="18"/>
  <c r="M218" i="18" s="1"/>
  <c r="R9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I172" i="18"/>
  <c r="I215" i="18" s="1"/>
  <c r="N5" i="22" s="1"/>
  <c r="L211" i="18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2" s="1"/>
  <c r="F85" i="32" s="1"/>
  <c r="M85" i="32" s="1"/>
  <c r="J85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F83" i="32" s="1"/>
  <c r="M83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BR29" i="23" l="1"/>
  <c r="F83" i="23" s="1"/>
  <c r="F85" i="23" s="1"/>
  <c r="BR27" i="23"/>
  <c r="D83" i="23" s="1"/>
  <c r="D85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I8" i="22"/>
  <c r="AU5" i="23" s="1"/>
  <c r="AU10" i="23" s="1"/>
  <c r="AU15" i="23"/>
  <c r="AU22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V8" i="22"/>
  <c r="BH5" i="23" s="1"/>
  <c r="BH8" i="23" s="1"/>
  <c r="BH15" i="23"/>
  <c r="BH20" i="23" s="1"/>
  <c r="N8" i="22"/>
  <c r="AZ5" i="23" s="1"/>
  <c r="AZ7" i="23" s="1"/>
  <c r="AZ15" i="23"/>
  <c r="AZ19" i="23" s="1"/>
  <c r="AD8" i="22"/>
  <c r="BP5" i="23" s="1"/>
  <c r="BP10" i="23" s="1"/>
  <c r="BP16" i="23"/>
  <c r="BP30" i="23" s="1"/>
  <c r="BR30" i="23" s="1"/>
  <c r="G83" i="23" s="1"/>
  <c r="G85" i="23" s="1"/>
  <c r="S8" i="22"/>
  <c r="BE5" i="23" s="1"/>
  <c r="BE8" i="23" s="1"/>
  <c r="BE15" i="23"/>
  <c r="BE20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M8" i="22"/>
  <c r="AY5" i="23" s="1"/>
  <c r="AY7" i="23" s="1"/>
  <c r="AY15" i="23"/>
  <c r="AY19" i="23" s="1"/>
  <c r="U8" i="22"/>
  <c r="BG5" i="23" s="1"/>
  <c r="BG8" i="23" s="1"/>
  <c r="BG15" i="23"/>
  <c r="BG20" i="23" s="1"/>
  <c r="J8" i="22"/>
  <c r="AV5" i="23" s="1"/>
  <c r="AV10" i="23" s="1"/>
  <c r="AV15" i="23"/>
  <c r="AV22" i="23" s="1"/>
  <c r="C285" i="33"/>
  <c r="C287" i="33"/>
  <c r="C292" i="33" s="1"/>
  <c r="D285" i="33"/>
  <c r="D287" i="33"/>
  <c r="D292" i="33" s="1"/>
  <c r="D294" i="33" s="1"/>
  <c r="C142" i="33"/>
  <c r="D142" i="33" s="1"/>
  <c r="D119" i="31"/>
  <c r="B122" i="31"/>
  <c r="B128" i="31" s="1"/>
  <c r="B130" i="31" s="1"/>
  <c r="G153" i="33"/>
  <c r="C143" i="33" s="1"/>
  <c r="D143" i="33" s="1"/>
  <c r="L13" i="32"/>
  <c r="AG138" i="32"/>
  <c r="AG140" i="32" s="1"/>
  <c r="J13" i="32"/>
  <c r="Z8" i="22"/>
  <c r="BL5" i="23" s="1"/>
  <c r="BL9" i="23" s="1"/>
  <c r="BI8" i="23"/>
  <c r="AW9" i="23"/>
  <c r="AX9" i="23"/>
  <c r="AV9" i="23"/>
  <c r="AT9" i="23"/>
  <c r="AU9" i="23"/>
  <c r="BP9" i="23"/>
  <c r="O8" i="22"/>
  <c r="BA5" i="23" s="1"/>
  <c r="BA7" i="23" s="1"/>
  <c r="X8" i="22"/>
  <c r="BJ5" i="23" s="1"/>
  <c r="AA211" i="18"/>
  <c r="P8" i="22"/>
  <c r="BB5" i="23" s="1"/>
  <c r="BB7" i="23" s="1"/>
  <c r="AA8" i="22"/>
  <c r="BM5" i="23" s="1"/>
  <c r="BM9" i="23" s="1"/>
  <c r="AC8" i="22"/>
  <c r="BO5" i="23" s="1"/>
  <c r="AB8" i="22"/>
  <c r="BN5" i="23" s="1"/>
  <c r="BN9" i="23" s="1"/>
  <c r="AA185" i="18"/>
  <c r="J14" i="22"/>
  <c r="C14" i="22" s="1"/>
  <c r="F16" i="23" s="1"/>
  <c r="K16" i="23" s="1"/>
  <c r="C57" i="15"/>
  <c r="C45" i="15"/>
  <c r="AI48" i="24"/>
  <c r="AI50" i="24"/>
  <c r="AI43" i="24"/>
  <c r="AL43" i="24" s="1"/>
  <c r="AL54" i="24" s="1"/>
  <c r="AI51" i="24"/>
  <c r="AI45" i="24"/>
  <c r="BB45" i="24" s="1"/>
  <c r="BB54" i="24" s="1"/>
  <c r="AI44" i="24"/>
  <c r="AM44" i="24" s="1"/>
  <c r="AM54" i="24" s="1"/>
  <c r="AI46" i="24"/>
  <c r="AK54" i="18"/>
  <c r="CC89" i="32" s="1"/>
  <c r="D82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3" s="1"/>
  <c r="AA159" i="18"/>
  <c r="C161" i="33" s="1"/>
  <c r="D161" i="33" s="1"/>
  <c r="T215" i="18"/>
  <c r="Y5" i="22" s="1"/>
  <c r="C294" i="33" l="1"/>
  <c r="Y8" i="22"/>
  <c r="BK15" i="23"/>
  <c r="BK21" i="23" s="1"/>
  <c r="BR21" i="23" s="1"/>
  <c r="F73" i="23" s="1"/>
  <c r="F75" i="23" s="1"/>
  <c r="BR20" i="23"/>
  <c r="E73" i="23" s="1"/>
  <c r="E75" i="23" s="1"/>
  <c r="BR23" i="23"/>
  <c r="H73" i="23" s="1"/>
  <c r="H75" i="23" s="1"/>
  <c r="C4" i="22"/>
  <c r="C7" i="22" s="1"/>
  <c r="K25" i="23" s="1"/>
  <c r="C162" i="33"/>
  <c r="D162" i="33" s="1"/>
  <c r="BR19" i="23"/>
  <c r="D73" i="23" s="1"/>
  <c r="D75" i="23" s="1"/>
  <c r="K82" i="32"/>
  <c r="X14" i="22"/>
  <c r="C28" i="22" s="1"/>
  <c r="CD106" i="32"/>
  <c r="E99" i="32" s="1"/>
  <c r="L99" i="32" s="1"/>
  <c r="J99" i="32" s="1"/>
  <c r="H14" i="22"/>
  <c r="C12" i="22" s="1"/>
  <c r="F14" i="23" s="1"/>
  <c r="K14" i="23" s="1"/>
  <c r="CD90" i="32"/>
  <c r="E83" i="32" s="1"/>
  <c r="L83" i="32" s="1"/>
  <c r="J83" i="32" s="1"/>
  <c r="I14" i="22"/>
  <c r="C13" i="22" s="1"/>
  <c r="F15" i="23" s="1"/>
  <c r="K15" i="23" s="1"/>
  <c r="CD91" i="32"/>
  <c r="E84" i="32" s="1"/>
  <c r="L84" i="32" s="1"/>
  <c r="J84" i="32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2" s="1"/>
  <c r="C61" i="15"/>
  <c r="C42" i="15"/>
  <c r="C12" i="32" s="1"/>
  <c r="AK54" i="25"/>
  <c r="CE89" i="32" s="1"/>
  <c r="F82" i="32" s="1"/>
  <c r="M82" i="32" s="1"/>
  <c r="G5" i="22"/>
  <c r="AA172" i="18"/>
  <c r="AA220" i="18"/>
  <c r="C298" i="33" s="1"/>
  <c r="AA219" i="18"/>
  <c r="K27" i="23" l="1"/>
  <c r="K73" i="23"/>
  <c r="C172" i="3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T112" i="32"/>
  <c r="M116" i="32"/>
  <c r="AD20" i="32"/>
  <c r="R18" i="32"/>
  <c r="AG132" i="32"/>
  <c r="AG134" i="32" s="1"/>
  <c r="G156" i="33"/>
  <c r="C145" i="33" s="1"/>
  <c r="D145" i="33" s="1"/>
  <c r="L11" i="32"/>
  <c r="J11" i="32"/>
  <c r="T110" i="32"/>
  <c r="K116" i="32"/>
  <c r="C212" i="33" s="1"/>
  <c r="AG135" i="32"/>
  <c r="AG137" i="32" s="1"/>
  <c r="L12" i="32"/>
  <c r="J12" i="32"/>
  <c r="AD19" i="32"/>
  <c r="R17" i="32"/>
  <c r="D27" i="23"/>
  <c r="AS9" i="23"/>
  <c r="C49" i="15"/>
  <c r="Z47" i="32" s="1"/>
  <c r="AC47" i="32" s="1"/>
  <c r="Y53" i="32" s="1"/>
  <c r="Z36" i="32" s="1"/>
  <c r="AJ39" i="32" s="1"/>
  <c r="AK54" i="24"/>
  <c r="CD89" i="32" s="1"/>
  <c r="E82" i="32" s="1"/>
  <c r="BK5" i="23"/>
  <c r="BK9" i="23" s="1"/>
  <c r="D212" i="33" l="1"/>
  <c r="AC36" i="32"/>
  <c r="AC38" i="32" s="1"/>
  <c r="AD38" i="32" s="1"/>
  <c r="AE38" i="32" s="1"/>
  <c r="AF8" i="22"/>
  <c r="AF5" i="22" s="1"/>
  <c r="C199" i="33"/>
  <c r="D199" i="33" s="1"/>
  <c r="D172" i="33"/>
  <c r="C175" i="33"/>
  <c r="D175" i="33" s="1"/>
  <c r="K75" i="23"/>
  <c r="C30" i="32"/>
  <c r="B118" i="32"/>
  <c r="AG147" i="32"/>
  <c r="U126" i="32" s="1"/>
  <c r="AE19" i="32"/>
  <c r="C20" i="32" s="1"/>
  <c r="AF19" i="32"/>
  <c r="D20" i="32" s="1"/>
  <c r="C155" i="33" s="1"/>
  <c r="D155" i="33" s="1"/>
  <c r="L82" i="32"/>
  <c r="C179" i="33"/>
  <c r="T18" i="32"/>
  <c r="S18" i="32"/>
  <c r="AE20" i="32"/>
  <c r="C21" i="32" s="1"/>
  <c r="AF20" i="32"/>
  <c r="D21" i="32" s="1"/>
  <c r="C156" i="33" s="1"/>
  <c r="D156" i="33" s="1"/>
  <c r="S17" i="32"/>
  <c r="T17" i="32"/>
  <c r="BR9" i="23"/>
  <c r="F25" i="23" s="1"/>
  <c r="G14" i="22"/>
  <c r="C11" i="22" s="1"/>
  <c r="F13" i="23" s="1"/>
  <c r="K13" i="23" s="1"/>
  <c r="AC39" i="32" l="1"/>
  <c r="AD39" i="32" s="1"/>
  <c r="AE39" i="32" s="1"/>
  <c r="AE41" i="32" s="1"/>
  <c r="J45" i="32" s="1"/>
  <c r="Y205" i="33"/>
  <c r="Y207" i="33" s="1"/>
  <c r="Z207" i="33" s="1"/>
  <c r="C176" i="33"/>
  <c r="D176" i="33" s="1"/>
  <c r="J118" i="32"/>
  <c r="C218" i="33" s="1"/>
  <c r="D218" i="33" s="1"/>
  <c r="J30" i="32"/>
  <c r="C177" i="33"/>
  <c r="D177" i="33" s="1"/>
  <c r="C160" i="33"/>
  <c r="D160" i="33" s="1"/>
  <c r="D179" i="33"/>
  <c r="T111" i="32"/>
  <c r="L116" i="32"/>
  <c r="C214" i="33" s="1"/>
  <c r="J82" i="32"/>
  <c r="AD18" i="32"/>
  <c r="R16" i="32"/>
  <c r="C153" i="33"/>
  <c r="J21" i="32"/>
  <c r="J20" i="32"/>
  <c r="C152" i="33"/>
  <c r="F27" i="23"/>
  <c r="C170" i="33"/>
  <c r="Y208" i="33" l="1"/>
  <c r="Z208" i="33" s="1"/>
  <c r="Z210" i="33" s="1"/>
  <c r="D209" i="33" s="1"/>
  <c r="D211" i="33" s="1"/>
  <c r="AD41" i="32"/>
  <c r="J145" i="32"/>
  <c r="C209" i="33"/>
  <c r="C216" i="33"/>
  <c r="D214" i="33"/>
  <c r="C159" i="33"/>
  <c r="D159" i="33" s="1"/>
  <c r="D153" i="33"/>
  <c r="C158" i="33"/>
  <c r="D158" i="33" s="1"/>
  <c r="D152" i="33"/>
  <c r="S16" i="32"/>
  <c r="T16" i="32"/>
  <c r="AE18" i="32"/>
  <c r="C19" i="32" s="1"/>
  <c r="AF18" i="32"/>
  <c r="D19" i="32" s="1"/>
  <c r="C173" i="33"/>
  <c r="C178" i="33"/>
  <c r="D170" i="33"/>
  <c r="D178" i="33" s="1"/>
  <c r="C211" i="33" l="1"/>
  <c r="C154" i="33"/>
  <c r="D154" i="33" s="1"/>
  <c r="C180" i="33"/>
  <c r="C151" i="33"/>
  <c r="J19" i="32"/>
  <c r="C221" i="33"/>
  <c r="D216" i="33"/>
  <c r="D221" i="33" s="1"/>
  <c r="C174" i="33"/>
  <c r="D174" i="33" s="1"/>
  <c r="D173" i="33"/>
  <c r="C157" i="33" l="1"/>
  <c r="D157" i="33" s="1"/>
  <c r="D151" i="33"/>
  <c r="D180" i="33"/>
  <c r="D181" i="33" s="1"/>
  <c r="C181" i="33"/>
  <c r="C194" i="33"/>
  <c r="J48" i="32"/>
  <c r="B174" i="32" s="1"/>
  <c r="B175" i="32" l="1"/>
  <c r="B180" i="32"/>
  <c r="B181" i="32" s="1"/>
  <c r="D194" i="33"/>
  <c r="D237" i="33" s="1"/>
  <c r="C237" i="33"/>
  <c r="D241" i="33" l="1"/>
  <c r="D242" i="33" s="1"/>
  <c r="D238" i="33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 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C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jeunes mort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vides
-1 ref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 mort
-1 ref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 (lot entretient)
-2 naissances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gestantes 
-1 naissance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gestantes
-1 naissance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
-1 naissance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naissances
-4 vides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 (la troisième est primipare même principe jusqu'à fin décembre)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+2 gestantes (venant lot entretient)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+3 gestantes (lot entretient)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
-1 renouvellement
+1 naissance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
-1 renouvellement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renouvellements 
-1 vente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renouvellement
-2 ventes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renouvellment 
-1 vente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ventes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adulte
+1 naissance primipare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primipare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 de grosses différences avec bv naissm donc on reprend le calendrier du ktype tel quel </t>
        </r>
      </text>
    </comment>
  </commentList>
</comments>
</file>

<file path=xl/sharedStrings.xml><?xml version="1.0" encoding="utf-8"?>
<sst xmlns="http://schemas.openxmlformats.org/spreadsheetml/2006/main" count="3045" uniqueCount="1475">
  <si>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</si>
  <si>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</si>
  <si>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</si>
  <si>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</si>
  <si>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</si>
  <si>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</si>
  <si>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</si>
  <si>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</si>
  <si>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</si>
  <si>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</si>
  <si>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</si>
  <si>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</si>
  <si>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</si>
  <si>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</si>
  <si>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</si>
  <si>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</si>
  <si>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</si>
  <si>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</si>
  <si>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</si>
  <si>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</si>
  <si>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</si>
  <si>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</si>
  <si>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</si>
  <si>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</si>
  <si>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</si>
  <si>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</si>
  <si>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</si>
  <si>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</si>
  <si>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</si>
  <si>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</si>
  <si>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</si>
  <si>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</si>
  <si>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</si>
  <si>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</si>
  <si>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</si>
  <si>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</si>
  <si>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</si>
  <si>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</si>
  <si>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</si>
  <si>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</si>
  <si>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</si>
  <si>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</si>
  <si>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</si>
  <si>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</si>
  <si>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</si>
  <si>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</si>
  <si>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</si>
  <si>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</si>
  <si>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</si>
  <si>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</si>
  <si>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</si>
  <si>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</si>
  <si>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</si>
  <si>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</si>
  <si>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</si>
  <si>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</si>
  <si>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</si>
  <si>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</si>
  <si>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</si>
  <si>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</si>
  <si>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</si>
  <si>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</si>
  <si>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</si>
  <si>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</si>
  <si>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</si>
  <si>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</si>
  <si>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</si>
  <si>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</si>
  <si>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</si>
  <si>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</si>
  <si>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</si>
  <si>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</si>
  <si>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</si>
  <si>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</si>
  <si>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</si>
  <si>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</si>
  <si>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</si>
  <si>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</si>
  <si>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</si>
  <si>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</si>
  <si>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</si>
  <si>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</si>
  <si>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</si>
  <si>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</si>
  <si>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</si>
  <si>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</si>
  <si>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</si>
  <si>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</si>
  <si>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</si>
  <si>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</si>
  <si>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</si>
  <si>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</si>
  <si>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</si>
  <si>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</si>
  <si>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</si>
  <si>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</si>
  <si>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</si>
  <si>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</si>
  <si>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</si>
  <si>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</si>
  <si>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</si>
  <si>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</si>
  <si>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</si>
  <si>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</si>
  <si>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</si>
  <si>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</si>
  <si>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</si>
  <si>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</si>
  <si>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</si>
  <si>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</si>
  <si>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</si>
  <si>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</si>
  <si>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</si>
  <si>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</si>
  <si>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</si>
  <si>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</si>
  <si>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</si>
  <si>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</si>
  <si>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</si>
  <si>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</si>
  <si>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</si>
  <si>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</si>
  <si>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</si>
  <si>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</si>
  <si>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</si>
  <si>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</si>
  <si>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</si>
  <si>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</si>
  <si>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</si>
  <si>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</si>
  <si>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</si>
  <si>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</si>
  <si>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</si>
  <si>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</si>
  <si>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</si>
  <si>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</si>
  <si>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</si>
  <si>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</si>
  <si>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</si>
  <si>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</si>
  <si>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</si>
  <si>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</si>
  <si>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</si>
  <si>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</si>
  <si>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</si>
  <si>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</si>
  <si>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</si>
  <si>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</si>
  <si>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</si>
  <si>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</si>
  <si>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</si>
  <si>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</si>
  <si>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</si>
  <si>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</si>
  <si>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</si>
  <si>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</si>
  <si>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</si>
  <si>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</si>
  <si>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</si>
  <si>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</si>
  <si>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</si>
  <si>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</si>
  <si>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</si>
  <si>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</si>
  <si>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</si>
  <si>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</si>
  <si>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</si>
  <si>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</si>
  <si>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</si>
  <si>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</si>
  <si>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</si>
  <si>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</si>
  <si>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</si>
  <si>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</si>
  <si>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</si>
  <si>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</si>
  <si>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</si>
  <si>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</si>
  <si>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</si>
  <si>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</si>
  <si>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</si>
  <si>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</si>
  <si>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</si>
  <si>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</si>
  <si>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</si>
  <si>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</si>
  <si>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</si>
  <si>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</si>
  <si>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</si>
  <si>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</si>
  <si>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</si>
  <si>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</si>
  <si>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</si>
  <si>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</si>
  <si>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</si>
  <si>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</si>
  <si>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</si>
  <si>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</si>
  <si>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</si>
  <si>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</si>
  <si>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</si>
  <si>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</si>
  <si>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</si>
  <si>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</si>
  <si>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</si>
  <si>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</si>
  <si>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</si>
  <si>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</si>
  <si>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</si>
  <si>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</si>
  <si>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</si>
  <si>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</si>
  <si>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</si>
  <si>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</si>
  <si>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</si>
  <si>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</si>
  <si>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</si>
  <si>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</si>
  <si>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</si>
  <si>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</si>
  <si>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</si>
  <si>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</si>
  <si>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</si>
  <si>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</si>
  <si>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</si>
  <si>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</si>
  <si>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</si>
  <si>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</si>
  <si>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</si>
  <si>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</si>
  <si>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</si>
  <si>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</si>
  <si>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</si>
  <si>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</si>
  <si>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</si>
  <si>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</si>
  <si>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</si>
  <si>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</si>
  <si>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</si>
  <si>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</si>
  <si>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</si>
  <si>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</si>
  <si>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</si>
  <si>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</si>
  <si>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</si>
  <si>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</si>
  <si>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</si>
  <si>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</si>
  <si>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</si>
  <si>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</si>
  <si>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</si>
  <si>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</si>
  <si>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</si>
  <si>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</si>
  <si>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</si>
  <si>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</si>
  <si>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</si>
  <si>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</si>
  <si>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</si>
  <si>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</si>
  <si>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</si>
  <si>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</si>
  <si>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</si>
  <si>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</si>
  <si>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</si>
  <si>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</si>
  <si>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</si>
  <si>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</si>
  <si>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</si>
  <si>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</si>
  <si>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</si>
  <si>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</si>
  <si>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</si>
  <si>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</si>
  <si>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</si>
  <si>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</si>
  <si>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</si>
  <si>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</si>
  <si>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</si>
  <si>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</si>
  <si>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</si>
  <si>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</si>
  <si>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</si>
  <si>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</si>
  <si>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</si>
  <si>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</si>
  <si>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</si>
  <si>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</si>
  <si>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</si>
  <si>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</si>
  <si>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</si>
  <si>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</si>
  <si>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</si>
  <si>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</si>
  <si>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</si>
  <si>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</si>
  <si>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</si>
  <si>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</si>
  <si>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</si>
  <si>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</si>
  <si>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</si>
  <si>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</si>
  <si>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</si>
  <si>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</si>
  <si>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</si>
  <si>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</si>
  <si>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</si>
  <si>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</si>
  <si>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</si>
  <si>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</si>
  <si>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</si>
  <si>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</si>
  <si>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</si>
  <si>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</si>
  <si>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</si>
  <si>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</si>
  <si>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</si>
  <si>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</si>
  <si>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</si>
  <si>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</si>
  <si>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</si>
  <si>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</si>
  <si>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</si>
  <si>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</si>
  <si>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</si>
  <si>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</si>
  <si>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</si>
  <si>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</si>
  <si>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</si>
  <si>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</si>
  <si>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</si>
  <si>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</si>
  <si>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</si>
  <si>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</si>
  <si>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</si>
  <si>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</si>
  <si>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</si>
  <si>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</si>
  <si>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</si>
  <si>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</si>
  <si>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</si>
  <si>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</si>
  <si>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</si>
  <si>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</si>
  <si>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</si>
  <si>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</si>
  <si>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</si>
  <si>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</si>
  <si>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</si>
  <si>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</si>
  <si>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</si>
  <si>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</si>
  <si>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</si>
  <si>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</si>
  <si>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</si>
  <si>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</si>
  <si>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</si>
  <si>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</si>
  <si>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</si>
  <si>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</si>
  <si>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</si>
  <si>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</si>
  <si>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</si>
  <si>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</si>
  <si>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</si>
  <si>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</si>
  <si>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</si>
  <si>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</si>
  <si>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</si>
  <si>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</si>
  <si>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</si>
  <si>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</si>
  <si>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</si>
  <si>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</si>
  <si>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</si>
  <si>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</si>
  <si>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</si>
  <si>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</si>
  <si>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</si>
  <si>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</si>
  <si>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</si>
  <si>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</si>
  <si>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</si>
  <si>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</si>
  <si>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</si>
  <si>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</si>
  <si>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</si>
  <si>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</si>
  <si>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</si>
  <si>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</si>
  <si>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</si>
  <si>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</si>
  <si>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</si>
  <si>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</si>
  <si>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</si>
  <si>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</si>
  <si>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</si>
  <si>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</si>
  <si>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</si>
  <si>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</si>
  <si>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</si>
  <si>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</si>
  <si>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</si>
  <si>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</si>
  <si>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</si>
  <si>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</si>
  <si>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</si>
  <si>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</si>
  <si>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</si>
  <si>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</si>
  <si>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</si>
  <si>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</si>
  <si>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</si>
  <si>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</si>
  <si>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</si>
  <si>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</si>
  <si>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</si>
  <si>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</si>
  <si>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</si>
  <si>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</si>
  <si>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</si>
  <si>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</si>
  <si>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</si>
  <si>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</si>
  <si>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</si>
  <si>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</si>
  <si>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broutards export 5ou6 mois 250/300kg</t>
  </si>
  <si>
    <t xml:space="preserve">lot vache ferme 8 </t>
  </si>
  <si>
    <t>lot vache montory12</t>
  </si>
  <si>
    <t>lot vache estive 29</t>
  </si>
  <si>
    <t>lot vache ambille ?</t>
  </si>
  <si>
    <t>brebis tardives 75</t>
  </si>
  <si>
    <t xml:space="preserve">5génisses fermes 8 génisses montory </t>
  </si>
  <si>
    <t>vide</t>
  </si>
  <si>
    <t>0à10</t>
  </si>
  <si>
    <t>achat fourrage : 25T luzerne + 30T foin</t>
  </si>
  <si>
    <t>autoconso C : 0</t>
  </si>
  <si>
    <t>achat C : 40T maïs + 40 T concentrés (pas le détail)</t>
  </si>
  <si>
    <t>réforme</t>
  </si>
  <si>
    <t>Brebis tardives + antenaises</t>
  </si>
  <si>
    <t>Brebis vides + agnelles</t>
  </si>
  <si>
    <t>Béliers</t>
  </si>
  <si>
    <t>Bovin viande</t>
  </si>
  <si>
    <t xml:space="preserve">broutards </t>
  </si>
  <si>
    <t>ferme</t>
  </si>
  <si>
    <t>montory</t>
  </si>
  <si>
    <t>ambille</t>
  </si>
  <si>
    <t>estive</t>
  </si>
  <si>
    <t>fougeraie fauchée</t>
  </si>
  <si>
    <t xml:space="preserve">tot </t>
  </si>
  <si>
    <t xml:space="preserve">distance </t>
  </si>
  <si>
    <t>type ancien codage enquete complémentaire</t>
  </si>
  <si>
    <t>proche</t>
  </si>
  <si>
    <t>Brebis  lot princ</t>
  </si>
  <si>
    <t>OL</t>
  </si>
  <si>
    <t>BV</t>
  </si>
  <si>
    <t>tardives</t>
  </si>
  <si>
    <t>antenaises</t>
  </si>
  <si>
    <t>vides</t>
  </si>
  <si>
    <t xml:space="preserve">agnelles </t>
  </si>
  <si>
    <t xml:space="preserve">equivalence ugb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</si>
  <si>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</si>
  <si>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</si>
  <si>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</si>
  <si>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</si>
  <si>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</si>
  <si>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</si>
  <si>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</si>
  <si>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</si>
  <si>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 xml:space="preserve">saisie initiale bvnaissm </t>
  </si>
  <si>
    <t xml:space="preserve">travail sur base bvnaissm </t>
  </si>
  <si>
    <t xml:space="preserve">femelles renouvellement </t>
  </si>
  <si>
    <t>calendrier zootech initial salies</t>
  </si>
  <si>
    <t xml:space="preserve">génisses 5/6 mois -1an </t>
  </si>
  <si>
    <t xml:space="preserve">gestante </t>
  </si>
  <si>
    <t>suitée</t>
  </si>
  <si>
    <t>ref (vides + mort jeune)</t>
  </si>
  <si>
    <t>entetient</t>
  </si>
  <si>
    <t>lot principal</t>
  </si>
  <si>
    <t xml:space="preserve">lot princ+génisse +2 ans </t>
  </si>
  <si>
    <t xml:space="preserve">lot génisses </t>
  </si>
  <si>
    <t xml:space="preserve">convertisseur ugb </t>
  </si>
  <si>
    <t xml:space="preserve">effectif lot </t>
  </si>
  <si>
    <t xml:space="preserve">saisie initiale 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</si>
  <si>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</si>
  <si>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</si>
  <si>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</si>
  <si>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</si>
  <si>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</si>
  <si>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</si>
  <si>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</si>
  <si>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</si>
  <si>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</si>
  <si>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</si>
  <si>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</si>
  <si>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</si>
  <si>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</si>
  <si>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</si>
  <si>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</si>
  <si>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</si>
  <si>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</si>
  <si>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</si>
  <si>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</si>
  <si>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</si>
  <si>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</si>
  <si>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</si>
  <si>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</si>
  <si>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</si>
  <si>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</si>
  <si>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</si>
  <si>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</si>
  <si>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</si>
  <si>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</si>
  <si>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</si>
  <si>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</si>
  <si>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</si>
  <si>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</si>
  <si>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</si>
  <si>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</si>
  <si>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</si>
  <si>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</si>
  <si>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</si>
  <si>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</si>
  <si>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</si>
  <si>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</si>
  <si>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</si>
  <si>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</si>
  <si>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</si>
  <si>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</si>
  <si>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</si>
  <si>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</si>
  <si>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</si>
  <si>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</si>
  <si>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</si>
  <si>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</si>
  <si>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</si>
  <si>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</si>
  <si>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</si>
  <si>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</si>
  <si>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</si>
  <si>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</si>
  <si>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</si>
  <si>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</si>
  <si>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</si>
  <si>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</si>
  <si>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</si>
  <si>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</si>
  <si>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</si>
  <si>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</si>
  <si>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</si>
  <si>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</si>
  <si>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</si>
  <si>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</si>
  <si>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</si>
  <si>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</si>
  <si>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</si>
  <si>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</si>
  <si>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</si>
  <si>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</si>
  <si>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</si>
  <si>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</si>
  <si>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</si>
  <si>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</si>
  <si>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</si>
  <si>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</si>
  <si>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</si>
  <si>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</si>
  <si>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</si>
  <si>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</si>
  <si>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</si>
  <si>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</si>
  <si>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</si>
  <si>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</si>
  <si>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</si>
  <si>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</si>
  <si>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</si>
  <si>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</si>
  <si>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</si>
  <si>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</si>
  <si>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</si>
  <si>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</si>
  <si>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</si>
  <si>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</si>
  <si>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</si>
  <si>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</si>
  <si>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</si>
  <si>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</si>
  <si>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</si>
  <si>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</si>
  <si>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</si>
  <si>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</si>
  <si>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</si>
  <si>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</si>
  <si>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</si>
  <si>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</si>
  <si>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</si>
  <si>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</si>
  <si>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</si>
  <si>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</si>
  <si>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</si>
  <si>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</si>
  <si>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</si>
  <si>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</si>
  <si>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</si>
  <si>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</si>
  <si>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</si>
  <si>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</si>
  <si>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</si>
  <si>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</si>
  <si>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</si>
  <si>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</si>
  <si>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</si>
  <si>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</si>
  <si>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</si>
  <si>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</si>
  <si>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</si>
  <si>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</si>
  <si>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</si>
  <si>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</si>
  <si>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</si>
  <si>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</si>
  <si>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</si>
  <si>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</si>
  <si>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</si>
  <si>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</si>
  <si>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</si>
  <si>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</si>
  <si>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</si>
  <si>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</si>
  <si>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</si>
  <si>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</si>
  <si>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</si>
  <si>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</si>
  <si>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</si>
  <si>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</si>
  <si>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</si>
  <si>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</si>
  <si>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</si>
  <si>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</si>
  <si>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</si>
  <si>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</si>
  <si>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</si>
  <si>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</si>
  <si>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</si>
  <si>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</si>
  <si>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</si>
  <si>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</si>
  <si>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</si>
  <si>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</si>
  <si>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</si>
  <si>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</si>
  <si>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</si>
  <si>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</si>
  <si>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</si>
  <si>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</si>
  <si>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</si>
  <si>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</si>
  <si>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</si>
  <si>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</si>
  <si>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</si>
  <si>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</si>
  <si>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</si>
  <si>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</si>
  <si>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</si>
  <si>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</si>
  <si>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</si>
  <si>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</si>
  <si>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</si>
  <si>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</si>
  <si>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</si>
  <si>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</si>
  <si>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</si>
  <si>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</si>
  <si>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</si>
  <si>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</si>
  <si>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</si>
  <si>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</si>
  <si>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</si>
  <si>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</si>
  <si>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</si>
  <si>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</si>
  <si>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</si>
  <si>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</si>
  <si>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</si>
  <si>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</si>
  <si>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</si>
  <si>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</si>
  <si>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</si>
  <si>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</si>
  <si>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</si>
  <si>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</si>
  <si>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</si>
  <si>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</si>
  <si>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</si>
  <si>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</si>
  <si>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</si>
  <si>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</si>
  <si>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</si>
  <si>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</si>
  <si>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</si>
  <si>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</si>
  <si>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</si>
  <si>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</si>
  <si>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</si>
  <si>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</si>
  <si>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</si>
  <si>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</si>
  <si>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</si>
  <si>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</si>
  <si>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</si>
  <si>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</si>
  <si>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</si>
  <si>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</si>
  <si>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</si>
  <si>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</si>
  <si>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</si>
  <si>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</si>
  <si>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</si>
  <si>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</si>
  <si>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</si>
  <si>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</si>
  <si>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</si>
  <si>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</si>
  <si>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</si>
  <si>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</si>
  <si>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</si>
  <si>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</si>
  <si>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</si>
  <si>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</si>
  <si>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</si>
  <si>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</si>
  <si>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</si>
  <si>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</si>
  <si>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</si>
  <si>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</si>
  <si>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</si>
  <si>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</si>
  <si>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</si>
  <si>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</si>
  <si>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</si>
  <si>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</si>
  <si>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</si>
  <si>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</si>
  <si>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</si>
  <si>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</si>
  <si>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</si>
  <si>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</si>
  <si>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</si>
  <si>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</si>
  <si>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</si>
  <si>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</si>
  <si>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</si>
  <si>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</si>
  <si>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</si>
  <si>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</si>
  <si>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</si>
  <si>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</si>
  <si>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</si>
  <si>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</si>
  <si>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</si>
  <si>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</si>
  <si>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</si>
  <si>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</si>
  <si>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</si>
  <si>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</si>
  <si>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</si>
  <si>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</si>
  <si>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</si>
  <si>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</si>
  <si>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</si>
  <si>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</si>
  <si>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</si>
  <si>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</si>
  <si>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</si>
  <si>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</si>
  <si>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</si>
  <si>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</si>
  <si>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</si>
  <si>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</si>
  <si>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</si>
  <si>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</si>
  <si>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</si>
  <si>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</si>
  <si>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</si>
  <si>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</si>
  <si>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</si>
  <si>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</si>
  <si>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</si>
  <si>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</si>
  <si>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</si>
  <si>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</si>
  <si>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</si>
  <si>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</si>
  <si>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</si>
  <si>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</si>
  <si>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</si>
  <si>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</si>
  <si>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</si>
  <si>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</si>
  <si>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</si>
  <si>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</si>
  <si>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</si>
  <si>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</si>
  <si>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</si>
  <si>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</si>
  <si>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</si>
  <si>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</si>
  <si>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</si>
  <si>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</si>
  <si>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</si>
  <si>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</si>
  <si>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</si>
  <si>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</si>
  <si>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</si>
  <si>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</si>
  <si>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</si>
  <si>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</si>
  <si>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</si>
  <si>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</si>
  <si>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</si>
  <si>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</si>
  <si>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</si>
  <si>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</si>
  <si>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</si>
  <si>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</si>
  <si>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</si>
  <si>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</si>
  <si>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</si>
  <si>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</si>
  <si>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</si>
  <si>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</si>
  <si>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</si>
  <si>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</si>
  <si>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</si>
  <si>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</si>
  <si>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</si>
  <si>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</si>
  <si>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</si>
  <si>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</si>
  <si>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</si>
  <si>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</si>
  <si>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</si>
  <si>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</si>
  <si>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</si>
  <si>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</si>
  <si>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</si>
  <si>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</si>
  <si>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</si>
  <si>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</si>
  <si>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</si>
  <si>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</si>
  <si>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</si>
  <si>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</si>
  <si>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</si>
  <si>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</si>
  <si>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</si>
  <si>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</si>
  <si>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</si>
  <si>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</si>
  <si>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</si>
  <si>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</si>
  <si>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</si>
  <si>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</si>
  <si>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</si>
  <si>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</si>
  <si>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</si>
  <si>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</si>
  <si>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</si>
  <si>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</si>
  <si>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</si>
  <si>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</si>
  <si>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</si>
  <si>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</si>
  <si>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</si>
  <si>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</si>
  <si>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</si>
  <si>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</si>
  <si>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</si>
  <si>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</si>
  <si>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</si>
  <si>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</si>
  <si>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</si>
  <si>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</si>
  <si>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</si>
  <si>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</si>
  <si>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</si>
  <si>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</si>
  <si>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</si>
  <si>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</si>
  <si>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</si>
  <si>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</si>
  <si>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</si>
  <si>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</si>
  <si>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</si>
  <si>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</si>
  <si>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</si>
  <si>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</si>
  <si>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</si>
  <si>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</si>
  <si>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</si>
  <si>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</si>
  <si>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</si>
  <si>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</si>
  <si>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</si>
  <si>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</si>
  <si>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</si>
  <si>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</si>
  <si>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</si>
  <si>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</si>
  <si>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</si>
  <si>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</si>
  <si>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</si>
  <si>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</si>
  <si>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</si>
  <si>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</si>
  <si>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</si>
  <si>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</si>
  <si>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</si>
  <si>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</si>
  <si>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</si>
  <si>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</si>
  <si>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</si>
  <si>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</si>
  <si>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</si>
  <si>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</si>
  <si>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</si>
  <si>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</si>
  <si>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</si>
  <si>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</si>
  <si>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</si>
  <si>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</si>
  <si>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</si>
  <si>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</si>
  <si>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</si>
  <si>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</si>
  <si>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</si>
  <si>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</si>
  <si>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</si>
  <si>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</si>
  <si>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</si>
  <si>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</si>
  <si>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</si>
  <si>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</si>
  <si>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</si>
  <si>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</si>
  <si>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</si>
  <si>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</si>
  <si>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</si>
  <si>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</si>
  <si>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</si>
  <si>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</si>
  <si>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</si>
  <si>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</si>
  <si>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</si>
  <si>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</si>
  <si>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</si>
  <si>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</si>
  <si>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</si>
  <si>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</si>
  <si>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</si>
  <si>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</si>
  <si>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</si>
  <si>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</si>
  <si>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</si>
  <si>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</si>
  <si>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</si>
  <si>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</si>
  <si>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</si>
  <si>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</si>
  <si>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</si>
  <si>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</si>
  <si>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</si>
  <si>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</si>
  <si>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</si>
  <si>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</si>
  <si>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</si>
  <si>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</si>
  <si>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</si>
  <si>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</si>
  <si>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</si>
  <si>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</si>
  <si>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</si>
  <si>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</si>
  <si>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</si>
  <si>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</si>
  <si>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</si>
  <si>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</si>
  <si>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</si>
  <si>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</si>
  <si>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</si>
  <si>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</si>
  <si>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</si>
  <si>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</si>
  <si>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</si>
  <si>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</si>
  <si>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</si>
  <si>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</si>
  <si>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</si>
  <si>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</si>
  <si>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</si>
  <si>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</si>
  <si>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</si>
  <si>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</si>
  <si>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</si>
  <si>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</si>
  <si>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</si>
  <si>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</si>
  <si>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</si>
  <si>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</si>
  <si>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</si>
  <si>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</si>
  <si>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</si>
  <si>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</si>
  <si>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</si>
  <si>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</si>
  <si>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</si>
  <si>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</si>
  <si>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</si>
  <si>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</si>
  <si>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</si>
  <si>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</si>
  <si>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</si>
  <si>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</si>
  <si>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</si>
  <si>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</si>
  <si>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</si>
  <si>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</si>
  <si>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</si>
  <si>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</si>
  <si>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</si>
  <si>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</si>
  <si>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</si>
  <si>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</si>
  <si>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</si>
  <si>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</si>
  <si>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</si>
  <si>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</si>
  <si>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</si>
  <si>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</si>
  <si>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</si>
  <si>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</si>
  <si>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</si>
  <si>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</si>
  <si>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</si>
  <si>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</si>
  <si>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</si>
  <si>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</si>
  <si>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</si>
  <si>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</si>
  <si>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</si>
  <si>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</si>
  <si>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</si>
  <si>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</si>
  <si>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</si>
  <si>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</si>
  <si>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</si>
  <si>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</si>
  <si>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</si>
  <si>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</si>
  <si>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</si>
  <si>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</si>
  <si>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</si>
  <si>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</si>
  <si>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</si>
  <si>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</si>
  <si>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</si>
  <si>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</si>
  <si>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</si>
  <si>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</si>
  <si>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</si>
  <si>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</si>
  <si>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</si>
  <si>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</si>
  <si>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</si>
  <si>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</si>
  <si>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</si>
  <si>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</si>
  <si>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</si>
  <si>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</si>
  <si>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</si>
  <si>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</si>
  <si>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</si>
  <si>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</si>
  <si>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</si>
  <si>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</si>
  <si>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</si>
  <si>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</si>
  <si>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</si>
  <si>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</si>
  <si>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</si>
  <si>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</si>
  <si>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</si>
  <si>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</si>
  <si>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</si>
  <si>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</si>
  <si>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</si>
  <si>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</si>
  <si>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</si>
  <si>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</si>
  <si>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</si>
  <si>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</si>
  <si>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</si>
  <si>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</si>
  <si>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</si>
  <si>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</si>
  <si>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</si>
  <si>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</si>
  <si>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</si>
  <si>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</si>
  <si>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</si>
  <si>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</si>
  <si>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</si>
  <si>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</si>
  <si>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</si>
  <si>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</si>
  <si>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</si>
  <si>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</si>
  <si>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</si>
  <si>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</si>
  <si>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</si>
  <si>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</si>
  <si>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</si>
  <si>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</si>
  <si>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</si>
  <si>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</si>
  <si>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</si>
  <si>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</si>
  <si>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</si>
  <si>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</si>
  <si>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</si>
  <si>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</si>
  <si>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</si>
  <si>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</si>
  <si>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</si>
  <si>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</si>
  <si>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</si>
  <si>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</si>
  <si>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</si>
  <si>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</si>
  <si>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</si>
  <si>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</si>
  <si>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</si>
  <si>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</si>
  <si>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</si>
  <si>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</si>
  <si>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</si>
  <si>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</si>
  <si>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</si>
  <si>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</si>
  <si>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</si>
  <si>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</si>
  <si>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</si>
  <si>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</si>
  <si>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</si>
  <si>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</si>
  <si>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</si>
  <si>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</si>
  <si>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</si>
  <si>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</si>
  <si>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</si>
  <si>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</si>
  <si>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</si>
  <si>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</si>
  <si>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</si>
  <si>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</si>
  <si>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</si>
  <si>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</si>
  <si>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</si>
  <si>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</si>
  <si>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</si>
  <si>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</si>
  <si>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</si>
  <si>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</si>
  <si>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</si>
  <si>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</si>
  <si>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</si>
  <si>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</si>
  <si>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</si>
  <si>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</si>
  <si>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</si>
  <si>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</si>
  <si>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</si>
  <si>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</si>
  <si>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</si>
  <si>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</si>
  <si>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</si>
  <si>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</si>
  <si>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</si>
  <si>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</si>
  <si>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</si>
  <si>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</si>
  <si>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</si>
  <si>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</si>
  <si>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</si>
  <si>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</si>
  <si>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</si>
  <si>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</si>
  <si>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</si>
  <si>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</si>
  <si>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</si>
  <si>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</si>
  <si>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</si>
  <si>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</si>
  <si>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</si>
  <si>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</si>
  <si>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</si>
  <si>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</si>
  <si>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</si>
  <si>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</si>
  <si>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</si>
  <si>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</si>
  <si>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</si>
  <si>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</si>
  <si>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</si>
  <si>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</si>
  <si>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</si>
  <si>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</si>
  <si>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</si>
  <si>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</si>
  <si>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</si>
  <si>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</si>
  <si>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</si>
  <si>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</si>
  <si>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</si>
  <si>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</si>
  <si>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</si>
  <si>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</si>
  <si>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</si>
  <si>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</si>
  <si>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</si>
  <si>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</si>
  <si>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</si>
  <si>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</si>
  <si>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</si>
  <si>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</si>
  <si>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</si>
  <si>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</si>
  <si>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</si>
  <si>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</si>
  <si>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</si>
  <si>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</si>
  <si>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</si>
  <si>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</si>
  <si>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</si>
  <si>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</si>
  <si>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</si>
  <si>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</si>
  <si>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</si>
  <si>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</si>
  <si>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</si>
  <si>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</si>
  <si>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</si>
  <si>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</si>
  <si>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</si>
  <si>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</si>
  <si>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</si>
  <si>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</si>
  <si>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</si>
  <si>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</si>
  <si>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</si>
  <si>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</si>
  <si>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</si>
  <si>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</si>
  <si>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</si>
  <si>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</si>
  <si>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</si>
  <si>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</si>
  <si>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</si>
  <si>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</si>
  <si>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</si>
  <si>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</si>
  <si>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</si>
  <si>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</si>
  <si>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</si>
  <si>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</si>
  <si>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</si>
  <si>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</si>
  <si>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</si>
  <si>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</si>
  <si>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</si>
  <si>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</si>
  <si>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</si>
  <si>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</si>
  <si>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</si>
  <si>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</si>
  <si>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</si>
  <si>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</si>
  <si>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</si>
  <si>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</si>
  <si>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</si>
  <si>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</si>
  <si>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</si>
  <si>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</si>
  <si>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</si>
  <si>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</si>
  <si>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</si>
  <si>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</si>
  <si>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</si>
  <si>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</si>
  <si>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</si>
  <si>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</si>
  <si>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</si>
  <si>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</si>
  <si>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</si>
  <si>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</si>
  <si>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</si>
  <si>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</si>
  <si>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</si>
  <si>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</si>
  <si>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</si>
  <si>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</si>
  <si>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</si>
  <si>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</si>
  <si>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</si>
  <si>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</si>
  <si>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</si>
  <si>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</si>
  <si>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</si>
  <si>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</si>
  <si>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</si>
  <si>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</si>
  <si>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</si>
  <si>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</si>
  <si>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</si>
  <si>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</si>
  <si>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</si>
  <si>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</si>
  <si>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</si>
  <si>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</si>
  <si>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</si>
  <si>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</si>
  <si>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</si>
  <si>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</si>
  <si>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</si>
  <si>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</si>
  <si>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</si>
  <si>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</si>
  <si>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</si>
  <si>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</si>
  <si>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</si>
  <si>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</si>
  <si>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</si>
  <si>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</si>
  <si>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</si>
  <si>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</si>
  <si>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</si>
  <si>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</si>
  <si>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</si>
  <si>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</si>
  <si>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</si>
  <si>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</si>
  <si>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</si>
  <si>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</si>
  <si>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</si>
  <si>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</si>
  <si>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</si>
  <si>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</si>
  <si>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</si>
  <si>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</si>
  <si>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</si>
  <si>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</si>
  <si>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</si>
  <si>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</si>
  <si>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</si>
  <si>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</si>
  <si>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</si>
  <si>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</si>
  <si>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</si>
  <si>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</si>
  <si>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</si>
  <si>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</si>
  <si>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</si>
  <si>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</si>
  <si>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</si>
  <si>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</si>
  <si>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</si>
  <si>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</si>
  <si>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</si>
  <si>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</si>
  <si>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</si>
  <si>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</si>
  <si>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</si>
  <si>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</si>
  <si>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</si>
  <si>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</si>
  <si>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</si>
  <si>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</si>
  <si>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</si>
  <si>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</si>
  <si>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</si>
  <si>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</si>
  <si>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</si>
  <si>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</si>
  <si>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</si>
  <si>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</si>
  <si>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</si>
  <si>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</si>
  <si>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</si>
  <si>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</si>
  <si>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</si>
  <si>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</si>
  <si>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</si>
  <si>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</si>
  <si>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</si>
  <si>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</si>
  <si>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</si>
  <si>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</si>
  <si>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</si>
  <si>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</si>
  <si>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</si>
  <si>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</si>
  <si>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</si>
  <si>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</si>
  <si>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</si>
  <si>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</si>
  <si>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</si>
  <si>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</si>
  <si>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</si>
  <si>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</si>
  <si>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</si>
  <si>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</si>
  <si>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</si>
  <si>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</si>
  <si>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</si>
  <si>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</si>
  <si>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</si>
  <si>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</si>
  <si>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</si>
  <si>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</si>
  <si>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</si>
  <si>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</si>
  <si>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</si>
  <si>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</si>
  <si>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</si>
  <si>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</si>
  <si>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</si>
  <si>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</si>
  <si>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</si>
  <si>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</si>
  <si>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</si>
  <si>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</si>
  <si>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</si>
  <si>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</si>
  <si>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</si>
  <si>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</si>
  <si>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</si>
  <si>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</si>
  <si>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</si>
  <si>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</si>
  <si>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</si>
  <si>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</si>
  <si>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</si>
  <si>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</si>
  <si>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</si>
  <si>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</si>
  <si>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</si>
  <si>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</si>
  <si>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</si>
  <si>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</si>
  <si>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</si>
  <si>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</si>
  <si>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</si>
  <si>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</si>
  <si>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</si>
  <si>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</si>
  <si>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</si>
  <si>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</si>
  <si>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</si>
  <si>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</si>
  <si>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</si>
  <si>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</si>
  <si>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</si>
  <si>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</si>
  <si>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 xml:space="preserve">nbre de lieux de couches </t>
  </si>
  <si>
    <t>Z2_OL_T1_C2si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</si>
</sst>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2" xfId="0" applyFill="1" applyBorder="1"/>
    <xf numFmtId="0" fontId="9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5" fillId="2" borderId="2" xfId="0" applyFont="1" applyFill="1" applyBorder="1" applyAlignment="1">
      <alignment horizontal="center"/>
    </xf>
    <xf numFmtId="0" fontId="0" fillId="9" borderId="2" xfId="0" applyFill="1" applyBorder="1"/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1" fillId="12" borderId="0" xfId="0" applyFont="1" applyFill="1"/>
    <xf numFmtId="0" fontId="0" fillId="12" borderId="0" xfId="0" applyFill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0" fontId="10" fillId="0" borderId="0" xfId="0" applyFont="1" applyAlignment="1">
      <alignment horizontal="right"/>
    </xf>
    <xf numFmtId="0" fontId="0" fillId="12" borderId="0" xfId="0" applyFill="1" applyAlignment="1">
      <alignment horizontal="righ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25</xdr:row>
      <xdr:rowOff>114300</xdr:rowOff>
    </xdr:from>
    <xdr:to>
      <xdr:col>29</xdr:col>
      <xdr:colOff>219075</xdr:colOff>
      <xdr:row>32</xdr:row>
      <xdr:rowOff>133350</xdr:rowOff>
    </xdr:to>
    <xdr:sp macro="" textlink="">
      <xdr:nvSpPr>
        <xdr:cNvPr id="2" name="ZoneTexte 1"/>
        <xdr:cNvSpPr txBox="1"/>
      </xdr:nvSpPr>
      <xdr:spPr>
        <a:xfrm>
          <a:off x="9658350" y="4876800"/>
          <a:ext cx="3238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hypothèse </a:t>
          </a:r>
        </a:p>
        <a:p>
          <a:r>
            <a:rPr lang="fr-FR" sz="1100"/>
            <a:t>uniquement suitée sur ferme </a:t>
          </a:r>
        </a:p>
        <a:p>
          <a:r>
            <a:rPr lang="fr-FR" sz="1100"/>
            <a:t>le reste principalement à MONTORY et</a:t>
          </a:r>
          <a:r>
            <a:rPr lang="fr-FR" sz="1100" baseline="0"/>
            <a:t> un peu à Ambille </a:t>
          </a:r>
        </a:p>
        <a:p>
          <a:r>
            <a:rPr lang="fr-FR" sz="1100" baseline="0"/>
            <a:t>à voir si jeunes transhument : la parcelle 15 (9ha à montory) reste pâturée tout l'été : hypothèse les plus jeunes ne montent pas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2619988426" createdVersion="6" refreshedVersion="6" minRefreshableVersion="3" recordCount="16">
  <cacheSource type="worksheet">
    <worksheetSource ref="B1:I17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0">
        <n v="279"/>
        <m/>
        <n v="286"/>
        <n v="285"/>
        <n v="215"/>
        <n v="47"/>
        <n v="292"/>
        <n v="277"/>
        <n v="259" u="1"/>
        <n v="263" u="1"/>
      </sharedItems>
    </cacheField>
    <cacheField name="surface" numFmtId="0">
      <sharedItems containsString="0" containsBlank="1" containsNumber="1" minValue="0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2"/>
    <x v="0"/>
    <n v="2"/>
    <x v="0"/>
    <n v="2.2000000000000002"/>
    <n v="3"/>
    <n v="0"/>
  </r>
  <r>
    <m/>
    <m/>
    <x v="1"/>
    <m/>
    <x v="1"/>
    <m/>
    <m/>
    <m/>
  </r>
  <r>
    <m/>
    <m/>
    <x v="1"/>
    <m/>
    <x v="1"/>
    <m/>
    <m/>
    <m/>
  </r>
  <r>
    <n v="1"/>
    <n v="2"/>
    <x v="0"/>
    <n v="2"/>
    <x v="2"/>
    <n v="5"/>
    <n v="3"/>
    <n v="0.5"/>
  </r>
  <r>
    <n v="1"/>
    <n v="2"/>
    <x v="0"/>
    <n v="2"/>
    <x v="3"/>
    <n v="1.5"/>
    <n v="3"/>
    <n v="1"/>
  </r>
  <r>
    <n v="1"/>
    <n v="2"/>
    <x v="0"/>
    <n v="2"/>
    <x v="0"/>
    <n v="1.8"/>
    <n v="3"/>
    <n v="0"/>
  </r>
  <r>
    <n v="1"/>
    <n v="2"/>
    <x v="0"/>
    <n v="2"/>
    <x v="4"/>
    <n v="0"/>
    <n v="3"/>
    <n v="0"/>
  </r>
  <r>
    <n v="2"/>
    <n v="0"/>
    <x v="0"/>
    <s v="fougeraie fauchée"/>
    <x v="5"/>
    <n v="1.3"/>
    <n v="1"/>
    <n v="1"/>
  </r>
  <r>
    <n v="1"/>
    <n v="2"/>
    <x v="0"/>
    <n v="2"/>
    <x v="6"/>
    <n v="1.3"/>
    <n v="3"/>
    <n v="0.5"/>
  </r>
  <r>
    <n v="1"/>
    <n v="2"/>
    <x v="0"/>
    <n v="2"/>
    <x v="6"/>
    <n v="2.7"/>
    <n v="3"/>
    <n v="0.5"/>
  </r>
  <r>
    <m/>
    <m/>
    <x v="1"/>
    <m/>
    <x v="1"/>
    <m/>
    <m/>
    <m/>
  </r>
  <r>
    <m/>
    <m/>
    <x v="1"/>
    <m/>
    <x v="1"/>
    <m/>
    <m/>
    <m/>
  </r>
  <r>
    <m/>
    <m/>
    <x v="1"/>
    <m/>
    <x v="1"/>
    <m/>
    <m/>
    <m/>
  </r>
  <r>
    <n v="1"/>
    <n v="2"/>
    <x v="2"/>
    <n v="2"/>
    <x v="7"/>
    <n v="2.5"/>
    <n v="3"/>
    <n v="0"/>
  </r>
  <r>
    <m/>
    <m/>
    <x v="1"/>
    <m/>
    <x v="1"/>
    <m/>
    <m/>
    <m/>
  </r>
  <r>
    <m/>
    <m/>
    <x v="1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5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8"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x="5"/>
        <item x="4"/>
        <item m="1" x="8"/>
        <item m="1" x="9"/>
        <item x="7"/>
        <item x="3"/>
        <item x="2"/>
        <item x="1"/>
        <item x="0"/>
        <item x="6"/>
        <item t="default"/>
      </items>
    </pivotField>
    <pivotField dataField="1" showAll="0"/>
    <pivotField showAll="0"/>
    <pivotField showAll="0"/>
  </pivotFields>
  <rowFields count="1">
    <field x="4"/>
  </rowFields>
  <rowItems count="9">
    <i>
      <x/>
    </i>
    <i>
      <x v="1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K11" sqref="K11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423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68</v>
      </c>
      <c r="B5" t="s">
        <v>69</v>
      </c>
    </row>
    <row r="6" spans="1:10" x14ac:dyDescent="0.25">
      <c r="A6" s="48" t="s">
        <v>70</v>
      </c>
      <c r="B6" t="s">
        <v>72</v>
      </c>
    </row>
    <row r="7" spans="1:10" x14ac:dyDescent="0.25">
      <c r="A7" s="13" t="s">
        <v>73</v>
      </c>
      <c r="B7" t="s">
        <v>111</v>
      </c>
    </row>
    <row r="8" spans="1:10" x14ac:dyDescent="0.25">
      <c r="A8" s="31" t="s">
        <v>71</v>
      </c>
      <c r="B8" t="s">
        <v>321</v>
      </c>
    </row>
    <row r="9" spans="1:10" x14ac:dyDescent="0.25">
      <c r="A9" s="47" t="s">
        <v>98</v>
      </c>
      <c r="B9" t="s">
        <v>99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51</v>
      </c>
      <c r="B14" s="81" t="s">
        <v>52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53</v>
      </c>
      <c r="B15" s="81" t="s">
        <v>54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55</v>
      </c>
      <c r="B16" s="81" t="s">
        <v>56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57</v>
      </c>
      <c r="B17" s="81" t="s">
        <v>58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60</v>
      </c>
      <c r="B18" s="81" t="s">
        <v>61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62</v>
      </c>
      <c r="B19" s="81" t="s">
        <v>63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64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65</v>
      </c>
      <c r="B21" t="s">
        <v>311</v>
      </c>
    </row>
    <row r="22" spans="1:10" x14ac:dyDescent="0.25">
      <c r="A22" t="s">
        <v>66</v>
      </c>
      <c r="B22" t="s">
        <v>311</v>
      </c>
    </row>
    <row r="23" spans="1:10" x14ac:dyDescent="0.25">
      <c r="A23" t="s">
        <v>67</v>
      </c>
      <c r="B23" t="s">
        <v>311</v>
      </c>
    </row>
    <row r="24" spans="1:10" x14ac:dyDescent="0.25">
      <c r="A24" t="s">
        <v>59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43" zoomScale="80" zoomScaleNormal="80" workbookViewId="0">
      <selection activeCell="L47" sqref="L47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487</v>
      </c>
      <c r="K1" s="80" t="s">
        <v>1474</v>
      </c>
    </row>
    <row r="2" spans="10:22" x14ac:dyDescent="0.25">
      <c r="J2" s="14" t="s">
        <v>488</v>
      </c>
      <c r="K2" s="80" t="s">
        <v>489</v>
      </c>
      <c r="P2" s="14" t="s">
        <v>489</v>
      </c>
      <c r="R2">
        <v>0</v>
      </c>
      <c r="S2" t="s">
        <v>490</v>
      </c>
    </row>
    <row r="3" spans="10:22" x14ac:dyDescent="0.25">
      <c r="J3" s="14" t="s">
        <v>491</v>
      </c>
      <c r="K3" s="80"/>
      <c r="P3" s="14" t="s">
        <v>492</v>
      </c>
      <c r="R3">
        <v>1</v>
      </c>
      <c r="S3" t="s">
        <v>493</v>
      </c>
    </row>
    <row r="4" spans="10:22" x14ac:dyDescent="0.25">
      <c r="J4" s="14" t="s">
        <v>494</v>
      </c>
      <c r="K4" s="80">
        <v>2</v>
      </c>
      <c r="P4" s="14" t="s">
        <v>495</v>
      </c>
    </row>
    <row r="5" spans="10:22" x14ac:dyDescent="0.25">
      <c r="J5" s="14" t="s">
        <v>496</v>
      </c>
      <c r="K5" s="80">
        <v>0.5</v>
      </c>
      <c r="T5" t="s">
        <v>497</v>
      </c>
      <c r="V5" t="s">
        <v>498</v>
      </c>
    </row>
    <row r="6" spans="10:22" x14ac:dyDescent="0.25">
      <c r="J6" s="14" t="s">
        <v>499</v>
      </c>
      <c r="K6" s="80"/>
      <c r="P6" s="14">
        <v>1</v>
      </c>
      <c r="Q6" t="s">
        <v>500</v>
      </c>
      <c r="T6" s="14" t="s">
        <v>455</v>
      </c>
      <c r="V6" s="14" t="s">
        <v>501</v>
      </c>
    </row>
    <row r="7" spans="10:22" x14ac:dyDescent="0.25">
      <c r="P7" s="14">
        <v>2</v>
      </c>
      <c r="Q7" t="s">
        <v>502</v>
      </c>
      <c r="T7" s="14" t="s">
        <v>503</v>
      </c>
      <c r="V7" s="14" t="s">
        <v>504</v>
      </c>
    </row>
    <row r="8" spans="10:22" x14ac:dyDescent="0.25">
      <c r="J8" s="14" t="s">
        <v>505</v>
      </c>
      <c r="K8" s="80">
        <v>2</v>
      </c>
      <c r="P8" s="14">
        <v>3</v>
      </c>
      <c r="Q8" t="s">
        <v>506</v>
      </c>
      <c r="T8" s="14" t="s">
        <v>454</v>
      </c>
      <c r="V8" s="14" t="s">
        <v>507</v>
      </c>
    </row>
    <row r="9" spans="10:22" x14ac:dyDescent="0.25">
      <c r="J9" s="14" t="s">
        <v>508</v>
      </c>
      <c r="K9" s="80" t="s">
        <v>523</v>
      </c>
      <c r="P9" s="14">
        <v>4</v>
      </c>
      <c r="Q9" t="s">
        <v>509</v>
      </c>
      <c r="T9" s="14" t="s">
        <v>510</v>
      </c>
      <c r="V9" s="14" t="s">
        <v>511</v>
      </c>
    </row>
    <row r="10" spans="10:22" x14ac:dyDescent="0.25">
      <c r="J10" s="14" t="s">
        <v>512</v>
      </c>
      <c r="K10" s="168">
        <f>IF(K9="HM",1,IF(K9="M1",1,IF(K9="M2",1,0)))</f>
        <v>1</v>
      </c>
      <c r="P10" s="14">
        <v>5</v>
      </c>
      <c r="Q10" t="s">
        <v>513</v>
      </c>
      <c r="T10" s="14" t="s">
        <v>514</v>
      </c>
      <c r="V10" s="14" t="s">
        <v>515</v>
      </c>
    </row>
    <row r="11" spans="10:22" x14ac:dyDescent="0.25">
      <c r="J11" s="14" t="s">
        <v>516</v>
      </c>
      <c r="K11" s="168">
        <f>IF(K9=0,0,1)</f>
        <v>1</v>
      </c>
      <c r="P11" s="14"/>
      <c r="T11" s="14" t="s">
        <v>517</v>
      </c>
      <c r="V11" s="14" t="s">
        <v>518</v>
      </c>
    </row>
    <row r="12" spans="10:22" x14ac:dyDescent="0.25">
      <c r="J12" s="14" t="s">
        <v>519</v>
      </c>
      <c r="K12" s="80" t="s">
        <v>454</v>
      </c>
      <c r="P12" s="14"/>
      <c r="V12" s="14" t="s">
        <v>520</v>
      </c>
    </row>
    <row r="13" spans="10:22" x14ac:dyDescent="0.25">
      <c r="J13" s="14" t="s">
        <v>498</v>
      </c>
      <c r="K13" s="80" t="s">
        <v>515</v>
      </c>
      <c r="P13" s="14" t="s">
        <v>521</v>
      </c>
      <c r="Q13" t="s">
        <v>522</v>
      </c>
    </row>
    <row r="14" spans="10:22" x14ac:dyDescent="0.25">
      <c r="P14" s="14" t="s">
        <v>523</v>
      </c>
      <c r="Q14" t="s">
        <v>524</v>
      </c>
    </row>
    <row r="15" spans="10:22" x14ac:dyDescent="0.25">
      <c r="J15"/>
      <c r="K15"/>
      <c r="P15" s="14" t="s">
        <v>525</v>
      </c>
      <c r="Q15" t="s">
        <v>526</v>
      </c>
    </row>
    <row r="16" spans="10:22" x14ac:dyDescent="0.25">
      <c r="J16" s="32" t="s">
        <v>527</v>
      </c>
      <c r="K16" s="80">
        <v>100</v>
      </c>
      <c r="P16" s="14" t="s">
        <v>528</v>
      </c>
      <c r="Q16" t="s">
        <v>529</v>
      </c>
    </row>
    <row r="17" spans="10:29" x14ac:dyDescent="0.25">
      <c r="J17" s="14" t="s">
        <v>530</v>
      </c>
      <c r="K17" s="80">
        <v>1</v>
      </c>
      <c r="P17" s="14" t="s">
        <v>531</v>
      </c>
      <c r="Q17" t="s">
        <v>532</v>
      </c>
    </row>
    <row r="18" spans="10:29" x14ac:dyDescent="0.25">
      <c r="J18" s="14" t="s">
        <v>533</v>
      </c>
      <c r="K18" s="80">
        <v>0</v>
      </c>
      <c r="P18" s="14">
        <v>0</v>
      </c>
      <c r="Q18" t="s">
        <v>534</v>
      </c>
    </row>
    <row r="19" spans="10:29" x14ac:dyDescent="0.25">
      <c r="J19" s="14" t="s">
        <v>535</v>
      </c>
      <c r="K19" s="80">
        <v>0</v>
      </c>
    </row>
    <row r="20" spans="10:29" x14ac:dyDescent="0.25">
      <c r="J20" s="14" t="s">
        <v>536</v>
      </c>
      <c r="K20" s="80"/>
    </row>
    <row r="21" spans="10:29" x14ac:dyDescent="0.25">
      <c r="J21" s="14" t="s">
        <v>537</v>
      </c>
      <c r="K21" s="80"/>
    </row>
    <row r="22" spans="10:29" x14ac:dyDescent="0.25">
      <c r="S22" s="2" t="s">
        <v>538</v>
      </c>
      <c r="T22" s="2"/>
      <c r="U22" s="2"/>
    </row>
    <row r="23" spans="10:29" x14ac:dyDescent="0.25">
      <c r="T23" s="166" t="s">
        <v>539</v>
      </c>
      <c r="U23" s="166" t="s">
        <v>50</v>
      </c>
      <c r="V23" s="166" t="s">
        <v>540</v>
      </c>
      <c r="W23" s="166" t="s">
        <v>541</v>
      </c>
      <c r="X23" s="166" t="s">
        <v>542</v>
      </c>
      <c r="Y23" s="166" t="s">
        <v>543</v>
      </c>
      <c r="Z23" s="166" t="s">
        <v>544</v>
      </c>
      <c r="AA23" s="166" t="s">
        <v>545</v>
      </c>
      <c r="AB23" s="166" t="s">
        <v>546</v>
      </c>
      <c r="AC23" s="166" t="s">
        <v>547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1.3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1.3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548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549</v>
      </c>
      <c r="K28" s="80">
        <v>15.5</v>
      </c>
      <c r="L28" t="s">
        <v>50</v>
      </c>
      <c r="M28" s="30">
        <f>U228</f>
        <v>15.5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550</v>
      </c>
      <c r="K29" s="80">
        <v>6.5</v>
      </c>
      <c r="L29" t="s">
        <v>50</v>
      </c>
      <c r="M29" s="30">
        <f>V228</f>
        <v>6.5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551</v>
      </c>
      <c r="K30" s="80">
        <v>2.5</v>
      </c>
      <c r="L30" t="s">
        <v>50</v>
      </c>
      <c r="M30" s="30">
        <f>W228</f>
        <v>2.5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552</v>
      </c>
      <c r="K31" s="80">
        <v>0</v>
      </c>
      <c r="L31" t="s">
        <v>553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554</v>
      </c>
      <c r="K32" s="168">
        <f>$AB$34</f>
        <v>1.3</v>
      </c>
      <c r="M32" t="s">
        <v>555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556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305</v>
      </c>
      <c r="K34" s="168">
        <f>$W$34</f>
        <v>0</v>
      </c>
      <c r="S34" s="62" t="s">
        <v>13</v>
      </c>
      <c r="T34" s="46"/>
      <c r="U34" s="62">
        <f>SUM(U24:U33)</f>
        <v>1.3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1.3</v>
      </c>
      <c r="AC34" s="62">
        <f>SUM(AC24:AC33)</f>
        <v>0</v>
      </c>
    </row>
    <row r="35" spans="10:132" x14ac:dyDescent="0.25">
      <c r="J35" s="14" t="s">
        <v>557</v>
      </c>
      <c r="K35" s="168">
        <f>$X$34</f>
        <v>0</v>
      </c>
    </row>
    <row r="36" spans="10:132" x14ac:dyDescent="0.25">
      <c r="J36" s="14" t="s">
        <v>558</v>
      </c>
      <c r="K36" s="168">
        <f>$Y$34</f>
        <v>0</v>
      </c>
    </row>
    <row r="37" spans="10:132" x14ac:dyDescent="0.25">
      <c r="J37" s="14" t="s">
        <v>559</v>
      </c>
      <c r="K37" s="168">
        <f>$Z$34</f>
        <v>0</v>
      </c>
    </row>
    <row r="38" spans="10:132" x14ac:dyDescent="0.25">
      <c r="J38" s="14" t="s">
        <v>560</v>
      </c>
      <c r="K38" s="168">
        <f>$AA$34</f>
        <v>0</v>
      </c>
    </row>
    <row r="39" spans="10:132" x14ac:dyDescent="0.25">
      <c r="J39" s="14" t="s">
        <v>561</v>
      </c>
      <c r="K39" s="168">
        <f>$AC$34</f>
        <v>0</v>
      </c>
    </row>
    <row r="40" spans="10:132" x14ac:dyDescent="0.25">
      <c r="J40" s="14" t="s">
        <v>562</v>
      </c>
      <c r="K40" s="168">
        <f>AC228</f>
        <v>0</v>
      </c>
    </row>
    <row r="41" spans="10:132" x14ac:dyDescent="0.25">
      <c r="J41" s="14" t="s">
        <v>563</v>
      </c>
      <c r="K41" s="168">
        <f>AD228</f>
        <v>17</v>
      </c>
    </row>
    <row r="42" spans="10:132" x14ac:dyDescent="0.25">
      <c r="J42" s="14" t="s">
        <v>564</v>
      </c>
      <c r="K42" s="168">
        <f>AA228</f>
        <v>0</v>
      </c>
    </row>
    <row r="43" spans="10:132" x14ac:dyDescent="0.25">
      <c r="J43" s="14" t="s">
        <v>565</v>
      </c>
      <c r="K43" s="168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566</v>
      </c>
      <c r="K48" s="168">
        <f>+K33+K41+K40</f>
        <v>17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567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490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1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568</v>
      </c>
      <c r="K51" s="1"/>
      <c r="M51">
        <v>1</v>
      </c>
      <c r="N51" t="s">
        <v>493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569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570</v>
      </c>
      <c r="K53" s="168" t="str">
        <f>Troupeau!B3</f>
        <v>OL</v>
      </c>
      <c r="L53" t="s">
        <v>571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573</v>
      </c>
      <c r="K55" s="80">
        <v>36.6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574</v>
      </c>
      <c r="K56" s="169">
        <v>3</v>
      </c>
      <c r="N56" t="s">
        <v>575</v>
      </c>
      <c r="P56" t="s">
        <v>576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577</v>
      </c>
      <c r="K57" s="80" t="s">
        <v>583</v>
      </c>
      <c r="N57" t="s">
        <v>578</v>
      </c>
      <c r="P57" t="s">
        <v>579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580</v>
      </c>
      <c r="K58" s="1">
        <v>2</v>
      </c>
      <c r="P58" t="s">
        <v>581</v>
      </c>
    </row>
    <row r="59" spans="10:132" x14ac:dyDescent="0.25">
      <c r="J59" s="14" t="s">
        <v>1473</v>
      </c>
      <c r="K59" s="1">
        <v>2</v>
      </c>
      <c r="P59" t="s">
        <v>583</v>
      </c>
    </row>
    <row r="60" spans="10:132" x14ac:dyDescent="0.25">
      <c r="J60" s="40" t="s">
        <v>584</v>
      </c>
      <c r="K60" s="168" t="str">
        <f>Troupeau!C3</f>
        <v>BV</v>
      </c>
      <c r="L60" t="s">
        <v>585</v>
      </c>
      <c r="P60" t="s">
        <v>586</v>
      </c>
    </row>
    <row r="61" spans="10:132" x14ac:dyDescent="0.25">
      <c r="J61" s="14" t="s">
        <v>587</v>
      </c>
      <c r="K61" s="169"/>
      <c r="L61" s="30" t="str">
        <f>IF(COUNTIF(CdTrp2!B76:Y85,5)&gt;0, "OUI", "NON")</f>
        <v>NON</v>
      </c>
      <c r="P61" t="s">
        <v>588</v>
      </c>
    </row>
    <row r="62" spans="10:132" x14ac:dyDescent="0.25">
      <c r="J62" s="14" t="s">
        <v>589</v>
      </c>
      <c r="K62" s="80"/>
    </row>
    <row r="63" spans="10:132" x14ac:dyDescent="0.25">
      <c r="J63"/>
      <c r="K63"/>
    </row>
    <row r="64" spans="10:132" x14ac:dyDescent="0.25">
      <c r="J64" s="14" t="s">
        <v>590</v>
      </c>
      <c r="K64" s="80"/>
    </row>
    <row r="65" spans="10:22" x14ac:dyDescent="0.25">
      <c r="J65" s="40" t="s">
        <v>591</v>
      </c>
      <c r="K65" s="168">
        <f>Troupeau!D3</f>
        <v>0</v>
      </c>
      <c r="L65" t="s">
        <v>592</v>
      </c>
    </row>
    <row r="66" spans="10:22" x14ac:dyDescent="0.25">
      <c r="J66" s="14" t="s">
        <v>593</v>
      </c>
      <c r="K66" s="80"/>
      <c r="L66" s="30" t="str">
        <f>IF(COUNTIF(CdTrp3!B76:Y85,5)&gt;0, "OUI", "NON")</f>
        <v>NON</v>
      </c>
    </row>
    <row r="67" spans="10:22" x14ac:dyDescent="0.25">
      <c r="J67" s="14" t="s">
        <v>594</v>
      </c>
      <c r="K67" s="80"/>
    </row>
    <row r="68" spans="10:22" x14ac:dyDescent="0.25">
      <c r="J68"/>
      <c r="K68"/>
    </row>
    <row r="69" spans="10:22" x14ac:dyDescent="0.25">
      <c r="J69" s="14" t="s">
        <v>595</v>
      </c>
      <c r="K69" s="80"/>
    </row>
    <row r="70" spans="10:22" x14ac:dyDescent="0.25">
      <c r="J70" s="14" t="s">
        <v>596</v>
      </c>
      <c r="K70" s="168">
        <f>IF(K53="OL",0,K54*K55)</f>
        <v>0</v>
      </c>
    </row>
    <row r="71" spans="10:22" x14ac:dyDescent="0.25">
      <c r="J71" s="14" t="s">
        <v>597</v>
      </c>
      <c r="K71" s="168">
        <f>IF(K60="OL",0,K61*K62)</f>
        <v>0</v>
      </c>
    </row>
    <row r="72" spans="10:22" x14ac:dyDescent="0.25">
      <c r="J72" s="14" t="s">
        <v>598</v>
      </c>
      <c r="K72" s="168">
        <f>IF(K65="OL",0,K66*K67)</f>
        <v>0</v>
      </c>
    </row>
    <row r="73" spans="10:22" x14ac:dyDescent="0.25">
      <c r="J73" s="14" t="s">
        <v>599</v>
      </c>
      <c r="K73" s="168">
        <f>SUM(K70:K72)</f>
        <v>0</v>
      </c>
    </row>
    <row r="74" spans="10:22" x14ac:dyDescent="0.25">
      <c r="J74" s="40" t="s">
        <v>600</v>
      </c>
      <c r="K74"/>
    </row>
    <row r="75" spans="10:22" x14ac:dyDescent="0.25">
      <c r="J75" s="14" t="s">
        <v>570</v>
      </c>
      <c r="K75" s="168" t="str">
        <f>Troupeau!B3</f>
        <v>OL</v>
      </c>
      <c r="L75" t="s">
        <v>601</v>
      </c>
      <c r="R75">
        <v>0</v>
      </c>
      <c r="S75" t="s">
        <v>602</v>
      </c>
      <c r="V75" s="14" t="s">
        <v>603</v>
      </c>
    </row>
    <row r="76" spans="10:22" x14ac:dyDescent="0.25">
      <c r="J76" s="14" t="s">
        <v>604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605</v>
      </c>
    </row>
    <row r="77" spans="10:22" x14ac:dyDescent="0.25">
      <c r="J77" s="14" t="s">
        <v>606</v>
      </c>
      <c r="K77" s="80"/>
      <c r="R77">
        <v>2</v>
      </c>
      <c r="U77">
        <v>2</v>
      </c>
      <c r="V77" t="s">
        <v>607</v>
      </c>
    </row>
    <row r="78" spans="10:22" x14ac:dyDescent="0.25">
      <c r="J78" s="40" t="s">
        <v>584</v>
      </c>
      <c r="K78" s="168" t="str">
        <f>Troupeau!C3</f>
        <v>BV</v>
      </c>
      <c r="L78" t="s">
        <v>608</v>
      </c>
      <c r="R78">
        <v>3</v>
      </c>
    </row>
    <row r="79" spans="10:22" x14ac:dyDescent="0.25">
      <c r="J79" s="14" t="s">
        <v>609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610</v>
      </c>
      <c r="K80" s="80"/>
      <c r="R80">
        <v>5</v>
      </c>
    </row>
    <row r="81" spans="9:21" x14ac:dyDescent="0.25">
      <c r="J81" s="40" t="s">
        <v>591</v>
      </c>
      <c r="K81" s="168">
        <f>Troupeau!D3</f>
        <v>0</v>
      </c>
      <c r="L81" t="s">
        <v>611</v>
      </c>
      <c r="U81" s="43" t="s">
        <v>612</v>
      </c>
    </row>
    <row r="82" spans="9:21" x14ac:dyDescent="0.25">
      <c r="J82" s="14" t="s">
        <v>613</v>
      </c>
      <c r="K82" s="80"/>
      <c r="L82" s="30" t="str">
        <f>IF(COUNTIF(CdTrp3!B76:Y85,4)&gt;0, "OUI", "NON")</f>
        <v>NON</v>
      </c>
      <c r="Q82" s="43" t="s">
        <v>614</v>
      </c>
      <c r="T82">
        <v>0</v>
      </c>
      <c r="U82" t="s">
        <v>615</v>
      </c>
    </row>
    <row r="83" spans="9:21" x14ac:dyDescent="0.25">
      <c r="J83" s="14" t="s">
        <v>616</v>
      </c>
      <c r="K83" s="80"/>
      <c r="P83">
        <v>1</v>
      </c>
      <c r="Q83" t="s">
        <v>617</v>
      </c>
      <c r="T83">
        <v>1</v>
      </c>
      <c r="U83" t="s">
        <v>618</v>
      </c>
    </row>
    <row r="84" spans="9:21" x14ac:dyDescent="0.25">
      <c r="J84" s="40" t="s">
        <v>603</v>
      </c>
      <c r="K84" s="170"/>
      <c r="L84" t="s">
        <v>619</v>
      </c>
      <c r="P84">
        <v>2</v>
      </c>
      <c r="Q84" t="s">
        <v>620</v>
      </c>
      <c r="T84">
        <v>2</v>
      </c>
      <c r="U84" t="s">
        <v>621</v>
      </c>
    </row>
    <row r="85" spans="9:21" x14ac:dyDescent="0.25">
      <c r="K85"/>
      <c r="Q85" s="43" t="s">
        <v>622</v>
      </c>
      <c r="U85" s="43" t="s">
        <v>623</v>
      </c>
    </row>
    <row r="86" spans="9:21" x14ac:dyDescent="0.25">
      <c r="J86" s="40" t="s">
        <v>624</v>
      </c>
      <c r="P86">
        <v>1</v>
      </c>
      <c r="Q86" t="s">
        <v>625</v>
      </c>
      <c r="T86">
        <v>1</v>
      </c>
      <c r="U86" t="s">
        <v>615</v>
      </c>
    </row>
    <row r="87" spans="9:21" x14ac:dyDescent="0.25">
      <c r="J87" s="14" t="s">
        <v>626</v>
      </c>
      <c r="K87" s="80">
        <v>0</v>
      </c>
      <c r="P87">
        <v>2</v>
      </c>
      <c r="Q87" t="s">
        <v>627</v>
      </c>
      <c r="T87">
        <v>2</v>
      </c>
      <c r="U87" t="s">
        <v>628</v>
      </c>
    </row>
    <row r="88" spans="9:21" x14ac:dyDescent="0.25">
      <c r="J88" s="14" t="s">
        <v>614</v>
      </c>
      <c r="K88" s="80"/>
      <c r="P88">
        <v>3</v>
      </c>
      <c r="Q88" t="s">
        <v>629</v>
      </c>
      <c r="T88">
        <v>3</v>
      </c>
      <c r="U88" t="s">
        <v>630</v>
      </c>
    </row>
    <row r="89" spans="9:21" x14ac:dyDescent="0.25">
      <c r="J89" s="14" t="s">
        <v>631</v>
      </c>
      <c r="K89" s="80"/>
      <c r="T89">
        <v>4</v>
      </c>
      <c r="U89" t="s">
        <v>632</v>
      </c>
    </row>
    <row r="90" spans="9:21" x14ac:dyDescent="0.25">
      <c r="J90" s="14" t="s">
        <v>631</v>
      </c>
      <c r="K90" s="80"/>
    </row>
    <row r="91" spans="9:21" x14ac:dyDescent="0.25">
      <c r="J91" s="14" t="s">
        <v>612</v>
      </c>
      <c r="K91" s="80"/>
    </row>
    <row r="92" spans="9:21" x14ac:dyDescent="0.25">
      <c r="J92"/>
      <c r="K92"/>
    </row>
    <row r="93" spans="9:21" x14ac:dyDescent="0.25">
      <c r="J93" s="14" t="s">
        <v>633</v>
      </c>
      <c r="K93" s="80"/>
    </row>
    <row r="94" spans="9:21" x14ac:dyDescent="0.25">
      <c r="J94" s="14" t="s">
        <v>634</v>
      </c>
      <c r="K94" s="80"/>
      <c r="L94" t="s">
        <v>635</v>
      </c>
    </row>
    <row r="95" spans="9:21" x14ac:dyDescent="0.25">
      <c r="J95" s="14" t="s">
        <v>636</v>
      </c>
      <c r="L95" t="s">
        <v>637</v>
      </c>
      <c r="Q95" t="s">
        <v>638</v>
      </c>
    </row>
    <row r="96" spans="9:21" x14ac:dyDescent="0.25">
      <c r="I96" t="s">
        <v>639</v>
      </c>
      <c r="J96" s="14" t="s">
        <v>225</v>
      </c>
      <c r="K96" s="80" t="s">
        <v>640</v>
      </c>
      <c r="L96" s="30" t="str">
        <f>CdTrp1!A15</f>
        <v>Brebis  lot princ</v>
      </c>
      <c r="Q96" t="s">
        <v>640</v>
      </c>
    </row>
    <row r="97" spans="9:17" x14ac:dyDescent="0.25">
      <c r="J97" s="14" t="s">
        <v>154</v>
      </c>
      <c r="K97" s="80" t="s">
        <v>641</v>
      </c>
      <c r="L97" s="30" t="str">
        <f>CdTrp1!A16</f>
        <v>Brebis tardives + antenaises</v>
      </c>
      <c r="Q97" t="s">
        <v>641</v>
      </c>
    </row>
    <row r="98" spans="9:17" x14ac:dyDescent="0.25">
      <c r="J98" s="14" t="s">
        <v>155</v>
      </c>
      <c r="K98" s="80" t="s">
        <v>640</v>
      </c>
      <c r="L98" s="30" t="str">
        <f>CdTrp1!A17</f>
        <v>Brebis vides + agnelles</v>
      </c>
    </row>
    <row r="99" spans="9:17" x14ac:dyDescent="0.25">
      <c r="J99" s="14" t="s">
        <v>156</v>
      </c>
      <c r="K99" s="80" t="s">
        <v>641</v>
      </c>
      <c r="L99" s="30" t="str">
        <f>CdTrp1!A18</f>
        <v>Béliers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642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643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644</v>
      </c>
      <c r="K127" s="80"/>
      <c r="L127" t="s">
        <v>645</v>
      </c>
    </row>
    <row r="128" spans="9:12" x14ac:dyDescent="0.25">
      <c r="K128"/>
    </row>
    <row r="129" spans="10:15" x14ac:dyDescent="0.25">
      <c r="J129" s="14" t="s">
        <v>646</v>
      </c>
      <c r="K129" s="80"/>
      <c r="L129" t="s">
        <v>647</v>
      </c>
      <c r="N129">
        <v>0</v>
      </c>
      <c r="O129" t="s">
        <v>648</v>
      </c>
    </row>
    <row r="130" spans="10:15" x14ac:dyDescent="0.25">
      <c r="J130"/>
      <c r="K130"/>
      <c r="N130">
        <v>1</v>
      </c>
      <c r="O130" t="s">
        <v>649</v>
      </c>
    </row>
    <row r="161" spans="17:41" x14ac:dyDescent="0.25">
      <c r="R161" s="2" t="s">
        <v>650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  <c r="AL163" s="5"/>
    </row>
    <row r="164" spans="17:41" x14ac:dyDescent="0.25"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L164" s="5"/>
      <c r="AO164" s="166" t="s">
        <v>50</v>
      </c>
    </row>
    <row r="165" spans="17:41" x14ac:dyDescent="0.25"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10">IF($T165&gt;0,$S165,0)</f>
        <v>5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5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5</v>
      </c>
      <c r="AJ165" s="168">
        <f t="shared" ref="AJ165:AJ207" si="20">IF(T165&gt;1,AD165,0)</f>
        <v>0</v>
      </c>
      <c r="AL165" s="5"/>
      <c r="AN165" s="32" t="s">
        <v>668</v>
      </c>
      <c r="AO165" s="168">
        <f>SUM(AD164:AD183)</f>
        <v>14.5</v>
      </c>
    </row>
    <row r="166" spans="17:41" x14ac:dyDescent="0.25"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10"/>
        <v>0</v>
      </c>
      <c r="V166" s="168">
        <f t="shared" si="11"/>
        <v>0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1.5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1.5</v>
      </c>
      <c r="AI166" s="168">
        <f t="shared" si="19"/>
        <v>0</v>
      </c>
      <c r="AJ166" s="168">
        <f t="shared" si="20"/>
        <v>0</v>
      </c>
      <c r="AL166" s="5"/>
      <c r="AN166" s="32" t="s">
        <v>669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10"/>
        <v>4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4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4</v>
      </c>
      <c r="AJ167" s="168">
        <f t="shared" si="20"/>
        <v>0</v>
      </c>
      <c r="AL167" s="5"/>
      <c r="AN167" s="32" t="s">
        <v>670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671</v>
      </c>
      <c r="AO168" s="168">
        <f>SUM(AD186:AD205)</f>
        <v>2.5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672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673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674</v>
      </c>
      <c r="AO171" s="168">
        <f>'Alim -Surf'!O51</f>
        <v>1.3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10"/>
        <v>2.5</v>
      </c>
      <c r="V186" s="168">
        <f t="shared" si="11"/>
        <v>2.5</v>
      </c>
      <c r="W186" s="168">
        <f t="shared" si="12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2.5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2.5</v>
      </c>
      <c r="AL186" s="5"/>
    </row>
    <row r="187" spans="17:38" x14ac:dyDescent="0.25"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10"/>
        <v>0</v>
      </c>
      <c r="V187" s="168">
        <f t="shared" si="11"/>
        <v>0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0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0</v>
      </c>
      <c r="AL187" s="5"/>
    </row>
    <row r="188" spans="17:38" x14ac:dyDescent="0.25"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10"/>
        <v>0</v>
      </c>
      <c r="V188" s="168">
        <f t="shared" si="11"/>
        <v>0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675</v>
      </c>
      <c r="R228" s="2"/>
      <c r="S228" s="62">
        <f t="shared" ref="S228" si="21">SUM(S164:S227)</f>
        <v>17</v>
      </c>
      <c r="U228" s="62">
        <f>SUM(U164:U227)</f>
        <v>15.5</v>
      </c>
      <c r="V228" s="62">
        <f t="shared" ref="V228:W228" si="22">SUM(V164:V227)</f>
        <v>6.5</v>
      </c>
      <c r="W228" s="62">
        <f t="shared" si="22"/>
        <v>2.5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1.5</v>
      </c>
      <c r="AI228" s="62">
        <f t="shared" si="24"/>
        <v>9</v>
      </c>
      <c r="AJ228" s="62">
        <f t="shared" si="24"/>
        <v>6.5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U9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676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677</v>
      </c>
      <c r="BJ1" t="s">
        <v>678</v>
      </c>
    </row>
    <row r="2" spans="1:64" x14ac:dyDescent="0.25">
      <c r="A2" s="14" t="s">
        <v>679</v>
      </c>
      <c r="B2" t="s">
        <v>570</v>
      </c>
      <c r="C2" s="172">
        <f>SUM(C3:C4)</f>
        <v>0</v>
      </c>
      <c r="D2" s="172">
        <f t="shared" ref="D2:Z2" si="0">SUM(D3:D4)</f>
        <v>0</v>
      </c>
      <c r="E2" s="172">
        <f t="shared" si="0"/>
        <v>2</v>
      </c>
      <c r="F2" s="172">
        <f t="shared" si="0"/>
        <v>3</v>
      </c>
      <c r="G2" s="172">
        <f t="shared" si="0"/>
        <v>3</v>
      </c>
      <c r="H2" s="172">
        <f t="shared" si="0"/>
        <v>4</v>
      </c>
      <c r="I2" s="172">
        <f t="shared" si="0"/>
        <v>4</v>
      </c>
      <c r="J2" s="172">
        <f t="shared" si="0"/>
        <v>4</v>
      </c>
      <c r="K2" s="172">
        <f t="shared" si="0"/>
        <v>4</v>
      </c>
      <c r="L2" s="172">
        <f t="shared" si="0"/>
        <v>3</v>
      </c>
      <c r="M2" s="172">
        <f t="shared" si="0"/>
        <v>2</v>
      </c>
      <c r="N2" s="172">
        <f t="shared" si="0"/>
        <v>0</v>
      </c>
      <c r="O2" s="172">
        <f t="shared" si="0"/>
        <v>0</v>
      </c>
      <c r="P2" s="172">
        <f t="shared" si="0"/>
        <v>0</v>
      </c>
      <c r="Q2" s="172">
        <f t="shared" si="0"/>
        <v>0</v>
      </c>
      <c r="R2" s="172">
        <f t="shared" si="0"/>
        <v>1</v>
      </c>
      <c r="S2" s="172">
        <f t="shared" si="0"/>
        <v>1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0</v>
      </c>
      <c r="Z2" s="172">
        <f t="shared" si="0"/>
        <v>0</v>
      </c>
      <c r="AH2" s="166"/>
      <c r="AP2" t="s">
        <v>680</v>
      </c>
      <c r="AQ2" t="s">
        <v>681</v>
      </c>
      <c r="AV2" t="s">
        <v>682</v>
      </c>
      <c r="AW2" t="s">
        <v>34</v>
      </c>
      <c r="AX2" t="s">
        <v>683</v>
      </c>
      <c r="AY2" t="s">
        <v>74</v>
      </c>
      <c r="AZ2" t="s">
        <v>18</v>
      </c>
      <c r="BA2" t="s">
        <v>684</v>
      </c>
      <c r="BB2" t="s">
        <v>685</v>
      </c>
      <c r="BC2" t="s">
        <v>686</v>
      </c>
      <c r="BD2" t="s">
        <v>687</v>
      </c>
      <c r="BE2" t="s">
        <v>688</v>
      </c>
      <c r="BF2" t="s">
        <v>689</v>
      </c>
      <c r="BG2" s="166" t="s">
        <v>218</v>
      </c>
      <c r="BH2" s="166" t="s">
        <v>216</v>
      </c>
      <c r="BI2" s="166" t="s">
        <v>217</v>
      </c>
      <c r="BJ2" s="166" t="s">
        <v>218</v>
      </c>
      <c r="BK2" s="166" t="s">
        <v>216</v>
      </c>
      <c r="BL2" s="166" t="s">
        <v>217</v>
      </c>
    </row>
    <row r="3" spans="1:64" x14ac:dyDescent="0.25">
      <c r="A3" s="14" t="s">
        <v>690</v>
      </c>
      <c r="B3" t="s">
        <v>570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2</v>
      </c>
      <c r="F3" s="172">
        <f t="shared" si="1"/>
        <v>3</v>
      </c>
      <c r="G3" s="172">
        <f t="shared" si="1"/>
        <v>3</v>
      </c>
      <c r="H3" s="172">
        <f t="shared" si="1"/>
        <v>4</v>
      </c>
      <c r="I3" s="172">
        <f t="shared" si="1"/>
        <v>4</v>
      </c>
      <c r="J3" s="172">
        <f t="shared" si="1"/>
        <v>4</v>
      </c>
      <c r="K3" s="172">
        <f t="shared" si="1"/>
        <v>4</v>
      </c>
      <c r="L3" s="172">
        <f t="shared" si="1"/>
        <v>3</v>
      </c>
      <c r="M3" s="172">
        <f t="shared" si="1"/>
        <v>2</v>
      </c>
      <c r="N3" s="172">
        <f t="shared" si="1"/>
        <v>0</v>
      </c>
      <c r="O3" s="172">
        <f t="shared" si="1"/>
        <v>0</v>
      </c>
      <c r="P3" s="172">
        <f t="shared" si="1"/>
        <v>0</v>
      </c>
      <c r="Q3" s="172">
        <f t="shared" si="1"/>
        <v>0</v>
      </c>
      <c r="R3" s="172">
        <f t="shared" si="1"/>
        <v>1</v>
      </c>
      <c r="S3" s="172">
        <f t="shared" si="1"/>
        <v>1</v>
      </c>
      <c r="T3" s="172">
        <f t="shared" si="1"/>
        <v>2</v>
      </c>
      <c r="U3" s="172">
        <f t="shared" si="1"/>
        <v>2</v>
      </c>
      <c r="V3" s="172">
        <f t="shared" si="1"/>
        <v>2</v>
      </c>
      <c r="W3" s="172">
        <f t="shared" si="1"/>
        <v>2</v>
      </c>
      <c r="X3" s="172">
        <f t="shared" si="1"/>
        <v>2</v>
      </c>
      <c r="Y3" s="172">
        <f t="shared" si="1"/>
        <v>0</v>
      </c>
      <c r="Z3" s="172">
        <f t="shared" si="1"/>
        <v>0</v>
      </c>
      <c r="AO3" s="14" t="s">
        <v>691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279</v>
      </c>
      <c r="AZ3" s="30">
        <f>Parcellaire!G2</f>
        <v>2.2000000000000002</v>
      </c>
      <c r="BA3" s="30">
        <f>ROUND(Parcellaire!R2,0)</f>
        <v>0</v>
      </c>
      <c r="BB3" s="30">
        <f>ROUND(Parcellaire!S2,0)</f>
        <v>495</v>
      </c>
      <c r="BC3" s="30">
        <f>ROUND(Parcellaire!T2,0)</f>
        <v>330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8">
        <f>IF($AW3&gt;0,IF(AND($BF3="LP",$AW3=1),$BB3,0),0)</f>
        <v>0</v>
      </c>
      <c r="BH3" s="168">
        <f>IF($AW3&gt;0,IF(AND($BF3="PF",$AW3=1),$BB3,0),0)</f>
        <v>495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2.2000000000000002</v>
      </c>
      <c r="BL3" s="168">
        <f>IF($AW3&gt;0,IF(AND($BF3="PE",$AW3=1),$AZ3,0),0)</f>
        <v>0</v>
      </c>
    </row>
    <row r="4" spans="1:64" x14ac:dyDescent="0.25">
      <c r="A4" s="14" t="s">
        <v>692</v>
      </c>
      <c r="B4" t="s">
        <v>570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693</v>
      </c>
      <c r="AP4" s="30">
        <f>SUM(BG31:BI31)</f>
        <v>3370</v>
      </c>
      <c r="AQ4">
        <f>SUM(BJ31:BL31)</f>
        <v>14.5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694</v>
      </c>
      <c r="B5" t="s">
        <v>570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I5" s="40" t="s">
        <v>695</v>
      </c>
      <c r="AJ5" s="30">
        <f>MAX(C203:Z203)</f>
        <v>10</v>
      </c>
      <c r="AO5" s="14" t="s">
        <v>696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ROUND(Parcellaire!R4,0)</f>
        <v>0</v>
      </c>
      <c r="BB5" s="30" t="e">
        <f>ROUND(Parcellaire!S4,0)</f>
        <v>#VALUE!</v>
      </c>
      <c r="BC5" s="30">
        <f>ROUND(Parcellaire!T4,0)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697</v>
      </c>
      <c r="B6" t="s">
        <v>570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698</v>
      </c>
      <c r="AP6" s="30">
        <f>BH31</f>
        <v>3370</v>
      </c>
      <c r="AQ6">
        <f>BK31</f>
        <v>14.5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5</v>
      </c>
      <c r="BA6" s="30">
        <f>ROUND(Parcellaire!R5,0)</f>
        <v>0</v>
      </c>
      <c r="BB6" s="30">
        <f>ROUND(Parcellaire!S5,0)</f>
        <v>957</v>
      </c>
      <c r="BC6" s="30">
        <f>ROUND(Parcellaire!T5,0)</f>
        <v>174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8">
        <f t="shared" si="4"/>
        <v>0</v>
      </c>
      <c r="BH6" s="168">
        <f t="shared" si="5"/>
        <v>957</v>
      </c>
      <c r="BI6" s="168">
        <f t="shared" si="6"/>
        <v>0</v>
      </c>
      <c r="BJ6" s="168">
        <f t="shared" si="7"/>
        <v>0</v>
      </c>
      <c r="BK6" s="168">
        <f t="shared" si="8"/>
        <v>5</v>
      </c>
      <c r="BL6" s="168">
        <f t="shared" si="9"/>
        <v>0</v>
      </c>
    </row>
    <row r="7" spans="1:64" x14ac:dyDescent="0.25">
      <c r="A7" s="14" t="s">
        <v>699</v>
      </c>
      <c r="B7" t="s">
        <v>570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2</v>
      </c>
      <c r="O7" s="172">
        <f t="shared" si="12"/>
        <v>2</v>
      </c>
      <c r="P7" s="172">
        <f t="shared" si="12"/>
        <v>2</v>
      </c>
      <c r="Q7" s="172">
        <f t="shared" si="12"/>
        <v>2</v>
      </c>
      <c r="R7" s="172">
        <f t="shared" si="12"/>
        <v>2</v>
      </c>
      <c r="S7" s="172">
        <f t="shared" si="12"/>
        <v>2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700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285</v>
      </c>
      <c r="AZ7" s="30">
        <f>Parcellaire!G6</f>
        <v>1.5</v>
      </c>
      <c r="BA7" s="30">
        <f>ROUND(Parcellaire!R6,0)</f>
        <v>0</v>
      </c>
      <c r="BB7" s="30">
        <f>ROUND(Parcellaire!S6,0)</f>
        <v>398</v>
      </c>
      <c r="BC7" s="30">
        <f>ROUND(Parcellaire!T6,0)</f>
        <v>398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8">
        <f t="shared" si="4"/>
        <v>0</v>
      </c>
      <c r="BH7" s="168">
        <f t="shared" si="5"/>
        <v>398</v>
      </c>
      <c r="BI7" s="168">
        <f t="shared" si="6"/>
        <v>0</v>
      </c>
      <c r="BJ7" s="168">
        <f t="shared" si="7"/>
        <v>0</v>
      </c>
      <c r="BK7" s="168">
        <f t="shared" si="8"/>
        <v>1.5</v>
      </c>
      <c r="BL7" s="168">
        <f t="shared" si="9"/>
        <v>0</v>
      </c>
    </row>
    <row r="8" spans="1:64" x14ac:dyDescent="0.25">
      <c r="A8" s="14" t="s">
        <v>701</v>
      </c>
      <c r="B8" t="s">
        <v>570</v>
      </c>
      <c r="C8" s="172">
        <f>(C3+C4)*[1]Protect!$B$12</f>
        <v>0</v>
      </c>
      <c r="D8" s="172">
        <f>(D3+D4)*[1]Protect!$B$12</f>
        <v>0</v>
      </c>
      <c r="E8" s="172">
        <f>(E3+E4)*[1]Protect!$B$12</f>
        <v>4</v>
      </c>
      <c r="F8" s="172">
        <f>(F3+F4)*[1]Protect!$B$12</f>
        <v>6</v>
      </c>
      <c r="G8" s="172">
        <f>(G3+G4)*[1]Protect!$B$12</f>
        <v>6</v>
      </c>
      <c r="H8" s="172">
        <f>(H3+H4)*[1]Protect!$B$12</f>
        <v>8</v>
      </c>
      <c r="I8" s="172">
        <f>(I3+I4)*[1]Protect!$B$12</f>
        <v>8</v>
      </c>
      <c r="J8" s="172">
        <f>(J3+J4)*[1]Protect!$B$12</f>
        <v>8</v>
      </c>
      <c r="K8" s="172">
        <f>(K3+K4)*[1]Protect!$B$12</f>
        <v>8</v>
      </c>
      <c r="L8" s="172">
        <f>(L3+L4)*[1]Protect!$B$12</f>
        <v>6</v>
      </c>
      <c r="M8" s="172">
        <f>(M3+M4)*[1]Protect!$B$12</f>
        <v>4</v>
      </c>
      <c r="N8" s="172">
        <f>(N3+N4)*[1]Protect!$B$12</f>
        <v>0</v>
      </c>
      <c r="O8" s="172">
        <f>(O3+O4)*[1]Protect!$B$12</f>
        <v>0</v>
      </c>
      <c r="P8" s="172">
        <f>(P3+P4)*[1]Protect!$B$12</f>
        <v>0</v>
      </c>
      <c r="Q8" s="172">
        <f>(Q3+Q4)*[1]Protect!$B$12</f>
        <v>0</v>
      </c>
      <c r="R8" s="172">
        <f>(R3+R4)*[1]Protect!$B$12</f>
        <v>2</v>
      </c>
      <c r="S8" s="172">
        <f>(S3+S4)*[1]Protect!$B$12</f>
        <v>2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0</v>
      </c>
      <c r="Z8" s="172">
        <f>(Z3+Z4)*[1]Protect!$B$12</f>
        <v>0</v>
      </c>
      <c r="AI8" s="40" t="s">
        <v>702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279</v>
      </c>
      <c r="AZ8" s="30">
        <f>Parcellaire!G7</f>
        <v>1.8</v>
      </c>
      <c r="BA8" s="30">
        <f>ROUND(Parcellaire!R7,0)</f>
        <v>0</v>
      </c>
      <c r="BB8" s="30">
        <f>ROUND(Parcellaire!S7,0)</f>
        <v>398</v>
      </c>
      <c r="BC8" s="30">
        <f>ROUND(Parcellaire!T7,0)</f>
        <v>398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68">
        <f t="shared" si="4"/>
        <v>0</v>
      </c>
      <c r="BH8" s="168">
        <f t="shared" si="5"/>
        <v>398</v>
      </c>
      <c r="BI8" s="168">
        <f t="shared" si="6"/>
        <v>0</v>
      </c>
      <c r="BJ8" s="168">
        <f t="shared" si="7"/>
        <v>0</v>
      </c>
      <c r="BK8" s="168">
        <f t="shared" si="8"/>
        <v>1.8</v>
      </c>
      <c r="BL8" s="168">
        <f t="shared" si="9"/>
        <v>0</v>
      </c>
    </row>
    <row r="9" spans="1:64" x14ac:dyDescent="0.25">
      <c r="A9" s="14" t="s">
        <v>703</v>
      </c>
      <c r="B9" t="s">
        <v>570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704</v>
      </c>
      <c r="B10" t="s">
        <v>570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47</v>
      </c>
      <c r="AZ10" s="30">
        <f>Parcellaire!G9</f>
        <v>1.3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705</v>
      </c>
      <c r="B11" t="s">
        <v>570</v>
      </c>
      <c r="C11" s="172">
        <f>SUM(C8:C10)</f>
        <v>0</v>
      </c>
      <c r="D11" s="172">
        <f t="shared" ref="D11:Z11" si="13">SUM(D8:D10)</f>
        <v>0</v>
      </c>
      <c r="E11" s="172">
        <f t="shared" si="13"/>
        <v>4</v>
      </c>
      <c r="F11" s="172">
        <f t="shared" si="13"/>
        <v>6</v>
      </c>
      <c r="G11" s="172">
        <f t="shared" si="13"/>
        <v>6</v>
      </c>
      <c r="H11" s="172">
        <f t="shared" si="13"/>
        <v>8</v>
      </c>
      <c r="I11" s="172">
        <f t="shared" si="13"/>
        <v>8</v>
      </c>
      <c r="J11" s="172">
        <f t="shared" si="13"/>
        <v>8</v>
      </c>
      <c r="K11" s="172">
        <f t="shared" si="13"/>
        <v>8</v>
      </c>
      <c r="L11" s="172">
        <f t="shared" si="13"/>
        <v>6</v>
      </c>
      <c r="M11" s="172">
        <f t="shared" si="13"/>
        <v>4</v>
      </c>
      <c r="N11" s="172">
        <f t="shared" si="13"/>
        <v>0</v>
      </c>
      <c r="O11" s="172">
        <f t="shared" si="13"/>
        <v>0</v>
      </c>
      <c r="P11" s="172">
        <f t="shared" si="13"/>
        <v>0</v>
      </c>
      <c r="Q11" s="172">
        <f t="shared" si="13"/>
        <v>0</v>
      </c>
      <c r="R11" s="172">
        <f t="shared" si="13"/>
        <v>2</v>
      </c>
      <c r="S11" s="172">
        <f t="shared" si="13"/>
        <v>2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0</v>
      </c>
      <c r="Z11" s="172">
        <f t="shared" si="13"/>
        <v>0</v>
      </c>
      <c r="AB11" s="2" t="s">
        <v>706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292</v>
      </c>
      <c r="AZ11" s="30">
        <f>Parcellaire!G10</f>
        <v>1.3</v>
      </c>
      <c r="BA11" s="30">
        <f>ROUND(Parcellaire!R10,0)</f>
        <v>0</v>
      </c>
      <c r="BB11" s="30">
        <f>ROUND(Parcellaire!S10,0)</f>
        <v>355</v>
      </c>
      <c r="BC11" s="30">
        <f>ROUND(Parcellaire!T10,0)</f>
        <v>355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68">
        <f t="shared" si="4"/>
        <v>0</v>
      </c>
      <c r="BH11" s="168">
        <f t="shared" si="5"/>
        <v>355</v>
      </c>
      <c r="BI11" s="168">
        <f t="shared" si="6"/>
        <v>0</v>
      </c>
      <c r="BJ11" s="168">
        <f t="shared" si="7"/>
        <v>0</v>
      </c>
      <c r="BK11" s="168">
        <f t="shared" si="8"/>
        <v>1.3</v>
      </c>
      <c r="BL11" s="168">
        <f t="shared" si="9"/>
        <v>0</v>
      </c>
    </row>
    <row r="12" spans="1:64" x14ac:dyDescent="0.25">
      <c r="A12" s="14" t="s">
        <v>707</v>
      </c>
      <c r="B12" t="s">
        <v>570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8</v>
      </c>
      <c r="O12" s="172">
        <f>O7*[1]Protect!$B$15</f>
        <v>8</v>
      </c>
      <c r="P12" s="172">
        <f>P7*[1]Protect!$B$15</f>
        <v>8</v>
      </c>
      <c r="Q12" s="172">
        <f>Q7*[1]Protect!$B$15</f>
        <v>8</v>
      </c>
      <c r="R12" s="172">
        <f>R7*[1]Protect!$B$15</f>
        <v>8</v>
      </c>
      <c r="S12" s="172">
        <f>S7*[1]Protect!$B$15</f>
        <v>8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708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292</v>
      </c>
      <c r="AZ12" s="30">
        <f>Parcellaire!G11</f>
        <v>2.7</v>
      </c>
      <c r="BA12" s="30">
        <f>ROUND(Parcellaire!R11,0)</f>
        <v>0</v>
      </c>
      <c r="BB12" s="30">
        <f>ROUND(Parcellaire!S11,0)</f>
        <v>767</v>
      </c>
      <c r="BC12" s="30">
        <f>ROUND(Parcellaire!T11,0)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68">
        <f t="shared" si="4"/>
        <v>0</v>
      </c>
      <c r="BH12" s="168">
        <f t="shared" si="5"/>
        <v>767</v>
      </c>
      <c r="BI12" s="168">
        <f t="shared" si="6"/>
        <v>0</v>
      </c>
      <c r="BJ12" s="168">
        <f t="shared" si="7"/>
        <v>0</v>
      </c>
      <c r="BK12" s="168">
        <f t="shared" si="8"/>
        <v>2.7</v>
      </c>
      <c r="BL12" s="168">
        <f t="shared" si="9"/>
        <v>0</v>
      </c>
    </row>
    <row r="13" spans="1:64" x14ac:dyDescent="0.25">
      <c r="A13" s="14" t="s">
        <v>709</v>
      </c>
      <c r="B13" t="s">
        <v>570</v>
      </c>
      <c r="C13" s="172">
        <f>C11+C12</f>
        <v>0</v>
      </c>
      <c r="D13" s="172">
        <f t="shared" ref="D13:Z13" si="14">D11+D12</f>
        <v>0</v>
      </c>
      <c r="E13" s="172">
        <f t="shared" si="14"/>
        <v>4</v>
      </c>
      <c r="F13" s="172">
        <f t="shared" si="14"/>
        <v>6</v>
      </c>
      <c r="G13" s="172">
        <f t="shared" si="14"/>
        <v>6</v>
      </c>
      <c r="H13" s="172">
        <f t="shared" si="14"/>
        <v>8</v>
      </c>
      <c r="I13" s="172">
        <f t="shared" si="14"/>
        <v>8</v>
      </c>
      <c r="J13" s="172">
        <f t="shared" si="14"/>
        <v>8</v>
      </c>
      <c r="K13" s="172">
        <f t="shared" si="14"/>
        <v>8</v>
      </c>
      <c r="L13" s="172">
        <f t="shared" si="14"/>
        <v>6</v>
      </c>
      <c r="M13" s="172">
        <f t="shared" si="14"/>
        <v>4</v>
      </c>
      <c r="N13" s="172">
        <f t="shared" si="14"/>
        <v>8</v>
      </c>
      <c r="O13" s="172">
        <f t="shared" si="14"/>
        <v>8</v>
      </c>
      <c r="P13" s="172">
        <f t="shared" si="14"/>
        <v>8</v>
      </c>
      <c r="Q13" s="172">
        <f t="shared" si="14"/>
        <v>8</v>
      </c>
      <c r="R13" s="172">
        <f t="shared" si="14"/>
        <v>10</v>
      </c>
      <c r="S13" s="172">
        <f t="shared" si="14"/>
        <v>10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0</v>
      </c>
      <c r="Z13" s="172">
        <f t="shared" si="14"/>
        <v>0</v>
      </c>
      <c r="AC13" s="14" t="s">
        <v>710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711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713</v>
      </c>
      <c r="B15" t="s">
        <v>570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16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68">
        <f t="shared" si="4"/>
        <v>0</v>
      </c>
      <c r="BH15" s="168">
        <f t="shared" si="5"/>
        <v>0</v>
      </c>
      <c r="BI15" s="168">
        <f t="shared" si="6"/>
        <v>0</v>
      </c>
      <c r="BJ15" s="168">
        <f t="shared" si="7"/>
        <v>0</v>
      </c>
      <c r="BK15" s="168">
        <f t="shared" si="8"/>
        <v>0</v>
      </c>
      <c r="BL15" s="168">
        <f t="shared" si="9"/>
        <v>0</v>
      </c>
    </row>
    <row r="16" spans="1:64" x14ac:dyDescent="0.25">
      <c r="A16" s="173" t="s">
        <v>714</v>
      </c>
      <c r="B16" t="s">
        <v>570</v>
      </c>
      <c r="C16" s="168">
        <f t="shared" ref="C16:Z16" si="16">COUNTIF(C68:C77,1)</f>
        <v>4</v>
      </c>
      <c r="D16" s="168">
        <f t="shared" si="16"/>
        <v>4</v>
      </c>
      <c r="E16" s="168">
        <f t="shared" si="16"/>
        <v>2</v>
      </c>
      <c r="F16" s="168">
        <f t="shared" si="16"/>
        <v>1</v>
      </c>
      <c r="G16" s="168">
        <f t="shared" si="16"/>
        <v>1</v>
      </c>
      <c r="H16" s="168">
        <f t="shared" si="16"/>
        <v>0</v>
      </c>
      <c r="I16" s="168">
        <f t="shared" si="16"/>
        <v>0</v>
      </c>
      <c r="J16" s="168">
        <f t="shared" si="16"/>
        <v>0</v>
      </c>
      <c r="K16" s="168">
        <f t="shared" si="16"/>
        <v>0</v>
      </c>
      <c r="L16" s="168">
        <f t="shared" si="16"/>
        <v>0</v>
      </c>
      <c r="M16" s="168">
        <f t="shared" si="16"/>
        <v>0</v>
      </c>
      <c r="N16" s="168">
        <f t="shared" si="16"/>
        <v>0</v>
      </c>
      <c r="O16" s="168">
        <f t="shared" si="16"/>
        <v>0</v>
      </c>
      <c r="P16" s="168">
        <f t="shared" si="16"/>
        <v>0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2</v>
      </c>
      <c r="X16" s="168">
        <f t="shared" si="16"/>
        <v>2</v>
      </c>
      <c r="Y16" s="168">
        <f t="shared" si="16"/>
        <v>3</v>
      </c>
      <c r="Z16" s="168">
        <f t="shared" si="16"/>
        <v>4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éloigné</v>
      </c>
      <c r="AY16" s="30">
        <f>Parcellaire!F15</f>
        <v>277</v>
      </c>
      <c r="AZ16" s="30">
        <f>Parcellaire!G15</f>
        <v>2.5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68">
        <f t="shared" si="4"/>
        <v>0</v>
      </c>
      <c r="BH16" s="168">
        <f t="shared" si="5"/>
        <v>0</v>
      </c>
      <c r="BI16" s="168">
        <f t="shared" si="6"/>
        <v>0</v>
      </c>
      <c r="BJ16" s="168">
        <f t="shared" si="7"/>
        <v>0</v>
      </c>
      <c r="BK16" s="168">
        <f t="shared" si="8"/>
        <v>0</v>
      </c>
      <c r="BL16" s="168">
        <f t="shared" si="9"/>
        <v>0</v>
      </c>
    </row>
    <row r="17" spans="1:64" x14ac:dyDescent="0.25">
      <c r="A17" s="173" t="s">
        <v>715</v>
      </c>
      <c r="B17" t="s">
        <v>570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2</v>
      </c>
      <c r="F17" s="168">
        <f t="shared" si="17"/>
        <v>3</v>
      </c>
      <c r="G17" s="168">
        <f t="shared" si="17"/>
        <v>3</v>
      </c>
      <c r="H17" s="168">
        <f t="shared" si="17"/>
        <v>4</v>
      </c>
      <c r="I17" s="168">
        <f t="shared" si="17"/>
        <v>4</v>
      </c>
      <c r="J17" s="168">
        <f t="shared" si="17"/>
        <v>4</v>
      </c>
      <c r="K17" s="168">
        <f t="shared" si="17"/>
        <v>4</v>
      </c>
      <c r="L17" s="168">
        <f t="shared" si="17"/>
        <v>3</v>
      </c>
      <c r="M17" s="168">
        <f t="shared" si="17"/>
        <v>2</v>
      </c>
      <c r="N17" s="168">
        <f t="shared" si="17"/>
        <v>0</v>
      </c>
      <c r="O17" s="168">
        <f t="shared" si="17"/>
        <v>0</v>
      </c>
      <c r="P17" s="168">
        <f t="shared" si="17"/>
        <v>0</v>
      </c>
      <c r="Q17" s="168">
        <f t="shared" si="17"/>
        <v>0</v>
      </c>
      <c r="R17" s="168">
        <f t="shared" si="17"/>
        <v>1</v>
      </c>
      <c r="S17" s="168">
        <f t="shared" si="17"/>
        <v>1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2</v>
      </c>
      <c r="Y17" s="168">
        <f t="shared" si="17"/>
        <v>1</v>
      </c>
      <c r="Z17" s="168">
        <f t="shared" si="17"/>
        <v>0</v>
      </c>
      <c r="AB17" s="2" t="s">
        <v>716</v>
      </c>
      <c r="AD17" s="102" t="s">
        <v>717</v>
      </c>
      <c r="AE17" s="81"/>
      <c r="AF17" s="81"/>
      <c r="AH17" s="2" t="s">
        <v>718</v>
      </c>
      <c r="AK17" t="s">
        <v>719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720</v>
      </c>
      <c r="B18" t="s">
        <v>570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721</v>
      </c>
      <c r="AD18" s="120" t="s">
        <v>454</v>
      </c>
      <c r="AE18" s="81" t="s">
        <v>722</v>
      </c>
      <c r="AF18" s="120" t="s">
        <v>723</v>
      </c>
      <c r="AK18" t="s">
        <v>724</v>
      </c>
      <c r="AV18" s="30">
        <f>Parcellaire!A17</f>
        <v>18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68">
        <f t="shared" si="4"/>
        <v>0</v>
      </c>
      <c r="BH18" s="168">
        <f t="shared" si="5"/>
        <v>0</v>
      </c>
      <c r="BI18" s="168">
        <f t="shared" si="6"/>
        <v>0</v>
      </c>
      <c r="BJ18" s="168">
        <f t="shared" si="7"/>
        <v>0</v>
      </c>
      <c r="BK18" s="168">
        <f t="shared" si="8"/>
        <v>0</v>
      </c>
      <c r="BL18" s="168">
        <f t="shared" si="9"/>
        <v>0</v>
      </c>
    </row>
    <row r="19" spans="1:64" x14ac:dyDescent="0.25">
      <c r="A19" s="173" t="s">
        <v>725</v>
      </c>
      <c r="B19" t="s">
        <v>570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717</v>
      </c>
      <c r="AK19" s="166" t="s">
        <v>727</v>
      </c>
      <c r="AV19" s="30">
        <f>Parcellaire!A18</f>
        <v>0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728</v>
      </c>
      <c r="B20" t="s">
        <v>570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2</v>
      </c>
      <c r="O20" s="168">
        <f t="shared" si="20"/>
        <v>2</v>
      </c>
      <c r="P20" s="168">
        <f t="shared" si="20"/>
        <v>2</v>
      </c>
      <c r="Q20" s="168">
        <f t="shared" si="20"/>
        <v>2</v>
      </c>
      <c r="R20" s="168">
        <f t="shared" si="20"/>
        <v>1</v>
      </c>
      <c r="S20" s="168">
        <f t="shared" si="20"/>
        <v>1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729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730</v>
      </c>
      <c r="AK20" s="64">
        <f>IF(OR(Scénario!K87=1,Scénario!K87=2),AF19,0)</f>
        <v>0</v>
      </c>
      <c r="AV20" s="30">
        <f>Parcellaire!A19</f>
        <v>20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68">
        <f t="shared" si="4"/>
        <v>0</v>
      </c>
      <c r="BH20" s="168">
        <f t="shared" si="5"/>
        <v>0</v>
      </c>
      <c r="BI20" s="168">
        <f t="shared" si="6"/>
        <v>0</v>
      </c>
      <c r="BJ20" s="168">
        <f t="shared" si="7"/>
        <v>0</v>
      </c>
      <c r="BK20" s="168">
        <f t="shared" si="8"/>
        <v>0</v>
      </c>
      <c r="BL20" s="168">
        <f t="shared" si="9"/>
        <v>0</v>
      </c>
    </row>
    <row r="21" spans="1:64" x14ac:dyDescent="0.25">
      <c r="A21" s="173" t="s">
        <v>731</v>
      </c>
      <c r="B21" t="s">
        <v>570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732</v>
      </c>
      <c r="AC21" s="14"/>
      <c r="AD21" s="64"/>
      <c r="AE21" s="64"/>
      <c r="AF21" s="64"/>
      <c r="AJ21" s="14" t="s">
        <v>733</v>
      </c>
      <c r="AK21" s="64">
        <f>IF(OR(Scénario!K87=1,Scénario!K87=2),Protection!AF20,IF(OR(Scénario!K87=3,Scénario!K87=4),Protection!AF22,0))</f>
        <v>0</v>
      </c>
      <c r="AV21" s="30">
        <f>Parcellaire!A20</f>
        <v>21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68">
        <f t="shared" si="4"/>
        <v>0</v>
      </c>
      <c r="BH21" s="168">
        <f t="shared" si="5"/>
        <v>0</v>
      </c>
      <c r="BI21" s="168">
        <f t="shared" si="6"/>
        <v>0</v>
      </c>
      <c r="BJ21" s="168">
        <f t="shared" si="7"/>
        <v>0</v>
      </c>
      <c r="BK21" s="168">
        <f t="shared" si="8"/>
        <v>0</v>
      </c>
      <c r="BL21" s="168">
        <f t="shared" si="9"/>
        <v>0</v>
      </c>
    </row>
    <row r="22" spans="1:64" x14ac:dyDescent="0.25">
      <c r="A22" s="173" t="s">
        <v>734</v>
      </c>
      <c r="B22" t="s">
        <v>570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3</v>
      </c>
      <c r="S22" s="62">
        <f t="shared" si="21"/>
        <v>3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729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718</v>
      </c>
      <c r="AK22" s="64">
        <f>IF(OR(Scénario!K87=3,Scénario!K87=4),Protection!AH22,0)</f>
        <v>0</v>
      </c>
      <c r="AV22" s="30">
        <f>Parcellaire!A21</f>
        <v>22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23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735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24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736</v>
      </c>
      <c r="B25" t="s">
        <v>584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737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25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694</v>
      </c>
      <c r="B26" t="s">
        <v>584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738</v>
      </c>
      <c r="AC26" s="14"/>
      <c r="AD26" s="166" t="s">
        <v>454</v>
      </c>
      <c r="AE26" t="s">
        <v>739</v>
      </c>
      <c r="AJ26" s="14" t="s">
        <v>678</v>
      </c>
      <c r="AK26" s="30">
        <f>IF(AK25=AP3,AQ3,IF(AK25=AP4,AQ4,IF(AK25=AP6,AQ6,0)))</f>
        <v>0</v>
      </c>
      <c r="AV26" s="30">
        <f>Parcellaire!A25</f>
        <v>26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697</v>
      </c>
      <c r="B27" t="s">
        <v>584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740</v>
      </c>
      <c r="AV27" s="30">
        <f>Parcellaire!A26</f>
        <v>27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699</v>
      </c>
      <c r="B28" t="s">
        <v>584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741</v>
      </c>
      <c r="AD28" s="168">
        <f>IF(AND(Troupeau!B3="OL",Scénario!K54&gt;0),Scénario!K59,0)</f>
        <v>2</v>
      </c>
      <c r="AJ28" s="14"/>
      <c r="AV28" s="30">
        <f>Parcellaire!A27</f>
        <v>28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701</v>
      </c>
      <c r="B29" t="s">
        <v>584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742</v>
      </c>
      <c r="AD29" s="168">
        <f>IF(AND(Troupeau!B3="OL",Scénario!K54&gt;0),Scénario!K59-1,0)</f>
        <v>1</v>
      </c>
      <c r="AV29" s="30">
        <f>Parcellaire!A28</f>
        <v>29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703</v>
      </c>
      <c r="B30" t="s">
        <v>584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743</v>
      </c>
      <c r="AD30" s="168">
        <f>IF(AND(Troupeau!B3="OL",SUM(Protection!C6:Z6)&gt;0),1,0)</f>
        <v>0</v>
      </c>
      <c r="AV30" s="30">
        <f>Parcellaire!A29</f>
        <v>30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704</v>
      </c>
      <c r="B31" t="s">
        <v>584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744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3370</v>
      </c>
      <c r="BI31" s="62">
        <f t="shared" si="26"/>
        <v>0</v>
      </c>
      <c r="BJ31" s="62">
        <f t="shared" si="26"/>
        <v>0</v>
      </c>
      <c r="BK31" s="62">
        <f t="shared" si="26"/>
        <v>14.5</v>
      </c>
      <c r="BL31" s="62">
        <f>SUM(BL3:BL30)</f>
        <v>0</v>
      </c>
    </row>
    <row r="32" spans="1:64" x14ac:dyDescent="0.25">
      <c r="A32" s="14" t="s">
        <v>705</v>
      </c>
      <c r="B32" t="s">
        <v>584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745</v>
      </c>
    </row>
    <row r="33" spans="1:132" x14ac:dyDescent="0.25">
      <c r="A33" s="14" t="s">
        <v>707</v>
      </c>
      <c r="B33" t="s">
        <v>584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746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709</v>
      </c>
      <c r="B34" t="s">
        <v>584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747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713</v>
      </c>
      <c r="B36" t="s">
        <v>584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714</v>
      </c>
      <c r="B37" t="s">
        <v>584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715</v>
      </c>
      <c r="B38" t="s">
        <v>584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720</v>
      </c>
      <c r="B39" t="s">
        <v>584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725</v>
      </c>
      <c r="B40" t="s">
        <v>584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728</v>
      </c>
      <c r="B41" t="s">
        <v>584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731</v>
      </c>
      <c r="B42" t="s">
        <v>584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734</v>
      </c>
      <c r="B43" t="s">
        <v>584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748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736</v>
      </c>
      <c r="B46" t="s">
        <v>591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694</v>
      </c>
      <c r="B47" t="s">
        <v>591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697</v>
      </c>
      <c r="B48" t="s">
        <v>591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699</v>
      </c>
      <c r="B49" t="s">
        <v>591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1</v>
      </c>
      <c r="AY49" s="177">
        <f>IF(CdTrp1!E77=1,1,IF(CdTrp1!E77=2,2,IF(CdTrp1!E77=3,2,0)))</f>
        <v>1</v>
      </c>
      <c r="AZ49" s="177">
        <f>IF(CdTrp1!F77=1,1,IF(CdTrp1!F77=2,2,IF(CdTrp1!F77=3,2,0)))</f>
        <v>1</v>
      </c>
      <c r="BA49" s="177">
        <f>IF(CdTrp1!G77=1,1,IF(CdTrp1!G77=2,2,IF(CdTrp1!G77=3,2,0)))</f>
        <v>1</v>
      </c>
      <c r="BB49" s="177">
        <f>IF(CdTrp1!H77=1,1,IF(CdTrp1!H77=2,2,IF(CdTrp1!H77=3,2,0)))</f>
        <v>1</v>
      </c>
      <c r="BC49" s="177">
        <f>IF(CdTrp1!I77=1,1,IF(CdTrp1!I77=2,2,IF(CdTrp1!I77=3,2,0)))</f>
        <v>1</v>
      </c>
      <c r="BD49" s="177">
        <f>IF(CdTrp1!J77=1,1,IF(CdTrp1!J77=2,2,IF(CdTrp1!J77=3,2,0)))</f>
        <v>1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701</v>
      </c>
      <c r="B50" t="s">
        <v>591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1</v>
      </c>
      <c r="AY50" s="177">
        <f>IF(CdTrp1!E78=1,1,IF(CdTrp1!E78=2,2,IF(CdTrp1!E78=3,2,0)))</f>
        <v>1</v>
      </c>
      <c r="AZ50" s="177">
        <f>IF(CdTrp1!F78=1,1,IF(CdTrp1!F78=2,2,IF(CdTrp1!F78=3,2,0)))</f>
        <v>1</v>
      </c>
      <c r="BA50" s="177">
        <f>IF(CdTrp1!G78=1,1,IF(CdTrp1!G78=2,2,IF(CdTrp1!G78=3,2,0)))</f>
        <v>1</v>
      </c>
      <c r="BB50" s="177">
        <f>IF(CdTrp1!H78=1,1,IF(CdTrp1!H78=2,2,IF(CdTrp1!H78=3,2,0)))</f>
        <v>1</v>
      </c>
      <c r="BC50" s="177">
        <f>IF(CdTrp1!I78=1,1,IF(CdTrp1!I78=2,2,IF(CdTrp1!I78=3,2,0)))</f>
        <v>1</v>
      </c>
      <c r="BD50" s="177">
        <f>IF(CdTrp1!J78=1,1,IF(CdTrp1!J78=2,2,IF(CdTrp1!J78=3,2,0)))</f>
        <v>1</v>
      </c>
      <c r="BE50" s="177">
        <f>IF(CdTrp1!K78=1,1,IF(CdTrp1!K78=2,2,IF(CdTrp1!K78=3,2,0)))</f>
        <v>1</v>
      </c>
      <c r="BF50" s="177">
        <f>IF(CdTrp1!L78=1,1,IF(CdTrp1!L78=2,2,IF(CdTrp1!L78=3,2,0)))</f>
        <v>1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1</v>
      </c>
      <c r="BL50" s="177">
        <f>IF(CdTrp1!R78=1,1,IF(CdTrp1!R78=2,2,IF(CdTrp1!R78=3,2,0)))</f>
        <v>1</v>
      </c>
      <c r="BM50" s="177">
        <f>IF(CdTrp1!S78=1,1,IF(CdTrp1!S78=2,2,IF(CdTrp1!S78=3,2,0)))</f>
        <v>1</v>
      </c>
      <c r="BN50" s="177">
        <f>IF(CdTrp1!T78=1,1,IF(CdTrp1!T78=2,2,IF(CdTrp1!T78=3,2,0)))</f>
        <v>1</v>
      </c>
      <c r="BO50" s="177">
        <f>IF(CdTrp1!U78=1,1,IF(CdTrp1!U78=2,2,IF(CdTrp1!U78=3,2,0)))</f>
        <v>1</v>
      </c>
      <c r="BP50" s="177">
        <f>IF(CdTrp1!V78=1,1,IF(CdTrp1!V78=2,2,IF(CdTrp1!V78=3,2,0)))</f>
        <v>1</v>
      </c>
      <c r="BQ50" s="177">
        <f>IF(CdTrp1!W78=1,1,IF(CdTrp1!W78=2,2,IF(CdTrp1!W78=3,2,0)))</f>
        <v>1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703</v>
      </c>
      <c r="B51" t="s">
        <v>591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1</v>
      </c>
      <c r="BB51" s="177">
        <f>IF(CdTrp1!H79=1,1,IF(CdTrp1!H79=2,2,IF(CdTrp1!H79=3,2,0)))</f>
        <v>1</v>
      </c>
      <c r="BC51" s="177">
        <f>IF(CdTrp1!I79=1,1,IF(CdTrp1!I79=2,2,IF(CdTrp1!I79=3,2,0)))</f>
        <v>1</v>
      </c>
      <c r="BD51" s="177">
        <f>IF(CdTrp1!J79=1,1,IF(CdTrp1!J79=2,2,IF(CdTrp1!J79=3,2,0)))</f>
        <v>1</v>
      </c>
      <c r="BE51" s="177">
        <f>IF(CdTrp1!K79=1,1,IF(CdTrp1!K79=2,2,IF(CdTrp1!K79=3,2,0)))</f>
        <v>1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704</v>
      </c>
      <c r="B52" t="s">
        <v>591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705</v>
      </c>
      <c r="B53" t="s">
        <v>591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707</v>
      </c>
      <c r="B54" t="s">
        <v>591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709</v>
      </c>
      <c r="B55" t="s">
        <v>591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713</v>
      </c>
      <c r="B57" t="s">
        <v>591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714</v>
      </c>
      <c r="B58" t="s">
        <v>591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715</v>
      </c>
      <c r="B59" t="s">
        <v>591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720</v>
      </c>
      <c r="B60" t="s">
        <v>591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725</v>
      </c>
      <c r="B61" t="s">
        <v>591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728</v>
      </c>
      <c r="B62" t="s">
        <v>591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731</v>
      </c>
      <c r="B63" t="s">
        <v>591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734</v>
      </c>
      <c r="B64" t="s">
        <v>591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92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750</v>
      </c>
      <c r="AV67" s="167"/>
      <c r="AW67" s="167"/>
    </row>
    <row r="68" spans="1:49" x14ac:dyDescent="0.25">
      <c r="A68" s="40" t="s">
        <v>751</v>
      </c>
      <c r="B68" s="30" t="str">
        <f>CdTrp1!A52</f>
        <v>Brebis  lot princ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5</v>
      </c>
      <c r="O68" s="168">
        <f>IF($AA68=0,99,IF(O81&gt;3,CdTrp1!N76,CdTrp1!N52))</f>
        <v>5</v>
      </c>
      <c r="P68" s="168">
        <f>IF($AA68=0,99,IF(P81&gt;3,CdTrp1!O76,CdTrp1!O52))</f>
        <v>5</v>
      </c>
      <c r="Q68" s="168">
        <f>IF($AA68=0,99,IF(Q81&gt;3,CdTrp1!P76,CdTrp1!P52))</f>
        <v>5</v>
      </c>
      <c r="R68" s="168">
        <f>IF($AA68=0,99,IF(R81&gt;3,CdTrp1!Q76,CdTrp1!Q52))</f>
        <v>5</v>
      </c>
      <c r="S68" s="168">
        <f>IF($AA68=0,99,IF(S81&gt;3,CdTrp1!R76,CdTrp1!R52))</f>
        <v>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195.14861612515051</v>
      </c>
      <c r="AD68" s="15"/>
      <c r="AE68" s="177"/>
      <c r="AF68" s="177"/>
      <c r="AG68" s="177"/>
      <c r="AH68" s="177"/>
      <c r="AI68" s="177"/>
    </row>
    <row r="69" spans="1:49" x14ac:dyDescent="0.25">
      <c r="B69" s="257" t="str">
        <f>CdTrp1!A53</f>
        <v>Brebis tardives + antenaises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0.5</v>
      </c>
      <c r="F69" s="168">
        <f>IF($AA69=0,99,IF(F82&gt;3,CdTrp1!E77,CdTrp1!E53))</f>
        <v>0.5</v>
      </c>
      <c r="G69" s="168">
        <f>IF($AA69=0,99,IF(G82&gt;3,CdTrp1!F77,CdTrp1!F53))</f>
        <v>0.5</v>
      </c>
      <c r="H69" s="168">
        <f>IF($AA69=0,99,IF(H82&gt;3,CdTrp1!G77,CdTrp1!G53))</f>
        <v>0.5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0.5</v>
      </c>
      <c r="L69" s="168">
        <f>IF($AA69=0,99,IF(L82&gt;3,CdTrp1!K77,CdTrp1!K53))</f>
        <v>99</v>
      </c>
      <c r="M69" s="168">
        <f>IF($AA69=0,99,IF(M82&gt;3,CdTrp1!L77,CdTrp1!L53))</f>
        <v>99</v>
      </c>
      <c r="N69" s="168">
        <f>IF($AA69=0,99,IF(N82&gt;3,CdTrp1!M77,CdTrp1!M53))</f>
        <v>99</v>
      </c>
      <c r="O69" s="168">
        <f>IF($AA69=0,99,IF(O82&gt;3,CdTrp1!N77,CdTrp1!N53))</f>
        <v>99</v>
      </c>
      <c r="P69" s="168">
        <f>IF($AA69=0,99,IF(P82&gt;3,CdTrp1!O77,CdTrp1!O53))</f>
        <v>99</v>
      </c>
      <c r="Q69" s="168">
        <f>IF($AA69=0,99,IF(Q82&gt;3,CdTrp1!P77,CdTrp1!P53))</f>
        <v>99</v>
      </c>
      <c r="R69" s="168">
        <f>IF($AA69=0,99,IF(R82&gt;3,CdTrp1!Q77,CdTrp1!Q53))</f>
        <v>99</v>
      </c>
      <c r="S69" s="168">
        <f>IF($AA69=0,99,IF(S82&gt;3,CdTrp1!R77,CdTrp1!R53))</f>
        <v>99</v>
      </c>
      <c r="T69" s="168">
        <f>IF($AA69=0,99,IF(T82&gt;3,CdTrp1!S77,CdTrp1!S53))</f>
        <v>99</v>
      </c>
      <c r="U69" s="168">
        <f>IF($AA69=0,99,IF(U82&gt;3,CdTrp1!T77,CdTrp1!T53))</f>
        <v>99</v>
      </c>
      <c r="V69" s="168">
        <f>IF($AA69=0,99,IF(V82&gt;3,CdTrp1!U77,CdTrp1!U53))</f>
        <v>99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21.030685920577614</v>
      </c>
      <c r="AD69" s="15"/>
      <c r="AU69" s="179"/>
    </row>
    <row r="70" spans="1:49" x14ac:dyDescent="0.25">
      <c r="B70" s="257" t="str">
        <f>CdTrp1!A54</f>
        <v>Brebis vides + agnelles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0.5</v>
      </c>
      <c r="F70" s="168">
        <f>IF($AA70=0,99,IF(F83&gt;3,CdTrp1!E78,CdTrp1!E54))</f>
        <v>0.5</v>
      </c>
      <c r="G70" s="168">
        <f>IF($AA70=0,99,IF(G83&gt;3,CdTrp1!F78,CdTrp1!F54))</f>
        <v>0.5</v>
      </c>
      <c r="H70" s="168">
        <f>IF($AA70=0,99,IF(H83&gt;3,CdTrp1!G78,CdTrp1!G54))</f>
        <v>0.5</v>
      </c>
      <c r="I70" s="168">
        <f>IF($AA70=0,99,IF(I83&gt;3,CdTrp1!H78,CdTrp1!H54))</f>
        <v>0.5</v>
      </c>
      <c r="J70" s="168">
        <f>IF($AA70=0,99,IF(J83&gt;3,CdTrp1!I78,CdTrp1!I54))</f>
        <v>0.5</v>
      </c>
      <c r="K70" s="168">
        <f>IF($AA70=0,99,IF(K83&gt;3,CdTrp1!J78,CdTrp1!J54))</f>
        <v>0.5</v>
      </c>
      <c r="L70" s="168">
        <f>IF($AA70=0,99,IF(L83&gt;3,CdTrp1!K78,CdTrp1!K54))</f>
        <v>0.5</v>
      </c>
      <c r="M70" s="168">
        <f>IF($AA70=0,99,IF(M83&gt;3,CdTrp1!L78,CdTrp1!L54))</f>
        <v>0.5</v>
      </c>
      <c r="N70" s="168">
        <f>IF($AA70=0,99,IF(N83&gt;3,CdTrp1!M78,CdTrp1!M54))</f>
        <v>5</v>
      </c>
      <c r="O70" s="168">
        <f>IF($AA70=0,99,IF(O83&gt;3,CdTrp1!N78,CdTrp1!N54))</f>
        <v>5</v>
      </c>
      <c r="P70" s="168">
        <f>IF($AA70=0,99,IF(P83&gt;3,CdTrp1!O78,CdTrp1!O54))</f>
        <v>5</v>
      </c>
      <c r="Q70" s="168">
        <f>IF($AA70=0,99,IF(Q83&gt;3,CdTrp1!P78,CdTrp1!P54))</f>
        <v>5</v>
      </c>
      <c r="R70" s="168">
        <f>IF($AA70=0,99,IF(R83&gt;3,CdTrp1!Q78,CdTrp1!Q54))</f>
        <v>0.5</v>
      </c>
      <c r="S70" s="168">
        <f>IF($AA70=0,99,IF(S83&gt;3,CdTrp1!R78,CdTrp1!R54))</f>
        <v>0.5</v>
      </c>
      <c r="T70" s="168">
        <f>IF($AA70=0,99,IF(T83&gt;3,CdTrp1!S78,CdTrp1!S54))</f>
        <v>0.5</v>
      </c>
      <c r="U70" s="168">
        <f>IF($AA70=0,99,IF(U83&gt;3,CdTrp1!T78,CdTrp1!T54))</f>
        <v>0.5</v>
      </c>
      <c r="V70" s="168">
        <f>IF($AA70=0,99,IF(V83&gt;3,CdTrp1!U78,CdTrp1!U54))</f>
        <v>0.5</v>
      </c>
      <c r="W70" s="168">
        <f>IF($AA70=0,99,IF(W83&gt;3,CdTrp1!V78,CdTrp1!V54))</f>
        <v>0.5</v>
      </c>
      <c r="X70" s="168">
        <f>IF($AA70=0,99,IF(X83&gt;3,CdTrp1!W78,CdTrp1!W54))</f>
        <v>0.5</v>
      </c>
      <c r="Y70" s="168">
        <f>IF($AA70=0,99,IF(Y83&gt;3,CdTrp1!X78,CdTrp1!X54))</f>
        <v>0.5</v>
      </c>
      <c r="Z70" s="168">
        <f>IF($AA70=0,99,IF(Z83&gt;3,CdTrp1!Y78,CdTrp1!Y54))</f>
        <v>1</v>
      </c>
      <c r="AA70" s="177">
        <f>SUM(CdTrp1!B17:Y17)/24</f>
        <v>50.796630565583634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0.5</v>
      </c>
      <c r="I71" s="168">
        <f>IF($AA71=0,99,IF(I84&gt;3,CdTrp1!H79,CdTrp1!H55))</f>
        <v>0.5</v>
      </c>
      <c r="J71" s="168">
        <f>IF($AA71=0,99,IF(J84&gt;3,CdTrp1!I79,CdTrp1!I55))</f>
        <v>0.5</v>
      </c>
      <c r="K71" s="168">
        <f>IF($AA71=0,99,IF(K84&gt;3,CdTrp1!J79,CdTrp1!J55))</f>
        <v>0.5</v>
      </c>
      <c r="L71" s="168">
        <f>IF($AA71=0,99,IF(L84&gt;3,CdTrp1!K79,CdTrp1!K55))</f>
        <v>0.5</v>
      </c>
      <c r="M71" s="168">
        <f>IF($AA71=0,99,IF(M84&gt;3,CdTrp1!L79,CdTrp1!L55))</f>
        <v>99</v>
      </c>
      <c r="N71" s="168">
        <f>IF($AA71=0,99,IF(N84&gt;3,CdTrp1!M79,CdTrp1!M55))</f>
        <v>99</v>
      </c>
      <c r="O71" s="168">
        <f>IF($AA71=0,99,IF(O84&gt;3,CdTrp1!N79,CdTrp1!N55))</f>
        <v>99</v>
      </c>
      <c r="P71" s="168">
        <f>IF($AA71=0,99,IF(P84&gt;3,CdTrp1!O79,CdTrp1!O55))</f>
        <v>99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1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3.0830324909747286</v>
      </c>
      <c r="AD71" s="15"/>
    </row>
    <row r="72" spans="1:49" x14ac:dyDescent="0.25">
      <c r="B72" s="257" t="str">
        <f>CdTrp1!A56</f>
        <v>lot5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57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57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57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92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752</v>
      </c>
      <c r="B81" s="30" t="str">
        <f>CdTrp1!A76</f>
        <v>Brebis  lot princ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5</v>
      </c>
      <c r="O81" s="168">
        <f>CdTrp1!N76</f>
        <v>5</v>
      </c>
      <c r="P81" s="168">
        <f>CdTrp1!O76</f>
        <v>5</v>
      </c>
      <c r="Q81" s="168">
        <f>CdTrp1!P76</f>
        <v>5</v>
      </c>
      <c r="R81" s="168">
        <f>CdTrp1!Q76</f>
        <v>5</v>
      </c>
      <c r="S81" s="168">
        <f>CdTrp1!R76</f>
        <v>5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57" t="str">
        <f>CdTrp1!A77</f>
        <v>Brebis tardives + antenaises</v>
      </c>
      <c r="C82" s="168">
        <f>CdTrp1!B77</f>
        <v>0</v>
      </c>
      <c r="D82" s="168">
        <f>CdTrp1!C77</f>
        <v>0</v>
      </c>
      <c r="E82" s="168">
        <f>CdTrp1!D77</f>
        <v>1</v>
      </c>
      <c r="F82" s="168">
        <f>CdTrp1!E77</f>
        <v>1</v>
      </c>
      <c r="G82" s="168">
        <f>CdTrp1!F77</f>
        <v>1</v>
      </c>
      <c r="H82" s="168">
        <f>CdTrp1!G77</f>
        <v>1</v>
      </c>
      <c r="I82" s="168">
        <f>CdTrp1!H77</f>
        <v>1</v>
      </c>
      <c r="J82" s="168">
        <f>CdTrp1!I77</f>
        <v>1</v>
      </c>
      <c r="K82" s="168">
        <f>CdTrp1!J77</f>
        <v>1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57" t="str">
        <f>CdTrp1!A78</f>
        <v>Brebis vides + agnelles</v>
      </c>
      <c r="C83" s="168">
        <f>CdTrp1!B78</f>
        <v>0</v>
      </c>
      <c r="D83" s="168">
        <f>CdTrp1!C78</f>
        <v>0</v>
      </c>
      <c r="E83" s="168">
        <f>CdTrp1!D78</f>
        <v>1</v>
      </c>
      <c r="F83" s="168">
        <f>CdTrp1!E78</f>
        <v>1</v>
      </c>
      <c r="G83" s="168">
        <f>CdTrp1!F78</f>
        <v>1</v>
      </c>
      <c r="H83" s="168">
        <f>CdTrp1!G78</f>
        <v>1</v>
      </c>
      <c r="I83" s="168">
        <f>CdTrp1!H78</f>
        <v>1</v>
      </c>
      <c r="J83" s="168">
        <f>CdTrp1!I78</f>
        <v>1</v>
      </c>
      <c r="K83" s="168">
        <f>CdTrp1!J78</f>
        <v>1</v>
      </c>
      <c r="L83" s="168">
        <f>CdTrp1!K78</f>
        <v>1</v>
      </c>
      <c r="M83" s="168">
        <f>CdTrp1!L78</f>
        <v>1</v>
      </c>
      <c r="N83" s="168">
        <f>CdTrp1!M78</f>
        <v>5</v>
      </c>
      <c r="O83" s="168">
        <f>CdTrp1!N78</f>
        <v>5</v>
      </c>
      <c r="P83" s="168">
        <f>CdTrp1!O78</f>
        <v>5</v>
      </c>
      <c r="Q83" s="168">
        <f>CdTrp1!P78</f>
        <v>5</v>
      </c>
      <c r="R83" s="168">
        <f>CdTrp1!Q78</f>
        <v>1</v>
      </c>
      <c r="S83" s="168">
        <f>CdTrp1!R78</f>
        <v>1</v>
      </c>
      <c r="T83" s="168">
        <f>CdTrp1!S78</f>
        <v>1</v>
      </c>
      <c r="U83" s="168">
        <f>CdTrp1!T78</f>
        <v>1</v>
      </c>
      <c r="V83" s="168">
        <f>CdTrp1!U78</f>
        <v>1</v>
      </c>
      <c r="W83" s="168">
        <f>CdTrp1!V78</f>
        <v>1</v>
      </c>
      <c r="X83" s="168">
        <f>CdTrp1!W78</f>
        <v>1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1</v>
      </c>
      <c r="I84" s="168">
        <f>CdTrp1!H79</f>
        <v>1</v>
      </c>
      <c r="J84" s="168">
        <f>CdTrp1!I79</f>
        <v>1</v>
      </c>
      <c r="K84" s="168">
        <f>CdTrp1!J79</f>
        <v>1</v>
      </c>
      <c r="L84" s="168">
        <f>CdTrp1!K79</f>
        <v>1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57" t="str">
        <f>CdTrp1!A80</f>
        <v>lot5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57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57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57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93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750</v>
      </c>
    </row>
    <row r="110" spans="1:27" x14ac:dyDescent="0.25">
      <c r="A110" s="40" t="s">
        <v>753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0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0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0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0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0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0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93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94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750</v>
      </c>
    </row>
    <row r="153" spans="1:27" x14ac:dyDescent="0.25">
      <c r="A153" s="40" t="s">
        <v>755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0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0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0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0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0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0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94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0</v>
      </c>
      <c r="O180" s="168">
        <f>IF(Troupeau!$B$3="OL",Protection!O18,0)</f>
        <v>0</v>
      </c>
      <c r="P180" s="168">
        <f>IF(Troupeau!$B$3="OL",Protection!P18,0)</f>
        <v>0</v>
      </c>
      <c r="Q180" s="168">
        <f>IF(Troupeau!$B$3="OL",Protection!Q18,0)</f>
        <v>0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757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2</v>
      </c>
      <c r="O181" s="168">
        <f>IF(Troupeau!$B$3="OL",Protection!O19+O21,0)</f>
        <v>2</v>
      </c>
      <c r="P181" s="168">
        <f>IF(Troupeau!$B$3="OL",Protection!P19+P21,0)</f>
        <v>2</v>
      </c>
      <c r="Q181" s="168">
        <f>IF(Troupeau!$B$3="OL",Protection!Q19+Q21,0)</f>
        <v>2</v>
      </c>
      <c r="R181" s="168">
        <f>IF(Troupeau!$B$3="OL",Protection!R19+R21,0)</f>
        <v>2</v>
      </c>
      <c r="S181" s="168">
        <f>IF(Troupeau!$B$3="OL",Protection!S19+S21,0)</f>
        <v>2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758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759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760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761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762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763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0</v>
      </c>
      <c r="O195" s="168">
        <f t="shared" si="49"/>
        <v>0</v>
      </c>
      <c r="P195" s="168">
        <f t="shared" si="49"/>
        <v>0</v>
      </c>
      <c r="Q195" s="168">
        <f t="shared" si="49"/>
        <v>0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765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2</v>
      </c>
      <c r="O196" s="168">
        <f t="shared" si="49"/>
        <v>2</v>
      </c>
      <c r="P196" s="168">
        <f t="shared" si="49"/>
        <v>2</v>
      </c>
      <c r="Q196" s="168">
        <f t="shared" si="49"/>
        <v>2</v>
      </c>
      <c r="R196" s="168">
        <f t="shared" si="49"/>
        <v>2</v>
      </c>
      <c r="S196" s="168">
        <f t="shared" si="49"/>
        <v>2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766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4</v>
      </c>
      <c r="F201" s="168">
        <f>IF(Troupeau!$B$3="OL",F8+F9,0)</f>
        <v>6</v>
      </c>
      <c r="G201" s="168">
        <f>IF(Troupeau!$B$3="OL",G8+G9,0)</f>
        <v>6</v>
      </c>
      <c r="H201" s="168">
        <f>IF(Troupeau!$B$3="OL",H8+H9,0)</f>
        <v>8</v>
      </c>
      <c r="I201" s="168">
        <f>IF(Troupeau!$B$3="OL",I8+I9,0)</f>
        <v>8</v>
      </c>
      <c r="J201" s="168">
        <f>IF(Troupeau!$B$3="OL",J8+J9,0)</f>
        <v>8</v>
      </c>
      <c r="K201" s="168">
        <f>IF(Troupeau!$B$3="OL",K8+K9,0)</f>
        <v>8</v>
      </c>
      <c r="L201" s="168">
        <f>IF(Troupeau!$B$3="OL",L8+L9,0)</f>
        <v>6</v>
      </c>
      <c r="M201" s="168">
        <f>IF(Troupeau!$B$3="OL",M8+M9,0)</f>
        <v>4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2</v>
      </c>
      <c r="S201" s="168">
        <f>IF(Troupeau!$B$3="OL",S8+S9,0)</f>
        <v>2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767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8</v>
      </c>
      <c r="O202" s="168">
        <f>IF(Troupeau!$B$3="OL",O10+O12,0)</f>
        <v>8</v>
      </c>
      <c r="P202" s="168">
        <f>IF(Troupeau!$B$3="OL",P10+P12,0)</f>
        <v>8</v>
      </c>
      <c r="Q202" s="168">
        <f>IF(Troupeau!$B$3="OL",Q10+Q12,0)</f>
        <v>8</v>
      </c>
      <c r="R202" s="168">
        <f>IF(Troupeau!$B$3="OL",R10+R12,0)</f>
        <v>8</v>
      </c>
      <c r="S202" s="168">
        <f>IF(Troupeau!$B$3="OL",S10+S12,0)</f>
        <v>8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 t="s">
        <v>768</v>
      </c>
      <c r="C203" s="168">
        <f>SUM(C201:C202)</f>
        <v>0</v>
      </c>
      <c r="D203" s="168">
        <f t="shared" ref="D203:Z203" si="50">SUM(D201:D202)</f>
        <v>0</v>
      </c>
      <c r="E203" s="168">
        <f t="shared" si="50"/>
        <v>4</v>
      </c>
      <c r="F203" s="168">
        <f t="shared" si="50"/>
        <v>6</v>
      </c>
      <c r="G203" s="168">
        <f t="shared" si="50"/>
        <v>6</v>
      </c>
      <c r="H203" s="168">
        <f t="shared" si="50"/>
        <v>8</v>
      </c>
      <c r="I203" s="168">
        <f t="shared" si="50"/>
        <v>8</v>
      </c>
      <c r="J203" s="168">
        <f t="shared" si="50"/>
        <v>8</v>
      </c>
      <c r="K203" s="168">
        <f t="shared" si="50"/>
        <v>8</v>
      </c>
      <c r="L203" s="168">
        <f t="shared" si="50"/>
        <v>6</v>
      </c>
      <c r="M203" s="168">
        <f t="shared" si="50"/>
        <v>4</v>
      </c>
      <c r="N203" s="168">
        <f t="shared" si="50"/>
        <v>8</v>
      </c>
      <c r="O203" s="168">
        <f t="shared" si="50"/>
        <v>8</v>
      </c>
      <c r="P203" s="168">
        <f t="shared" si="50"/>
        <v>8</v>
      </c>
      <c r="Q203" s="168">
        <f t="shared" si="50"/>
        <v>8</v>
      </c>
      <c r="R203" s="168">
        <f t="shared" si="50"/>
        <v>10</v>
      </c>
      <c r="S203" s="168">
        <f t="shared" si="50"/>
        <v>10</v>
      </c>
      <c r="T203" s="168">
        <f t="shared" si="50"/>
        <v>4</v>
      </c>
      <c r="U203" s="168">
        <f t="shared" si="50"/>
        <v>4</v>
      </c>
      <c r="V203" s="168">
        <f t="shared" si="50"/>
        <v>4</v>
      </c>
      <c r="W203" s="168">
        <f t="shared" si="50"/>
        <v>4</v>
      </c>
      <c r="X203" s="168">
        <f t="shared" si="50"/>
        <v>4</v>
      </c>
      <c r="Y203" s="168">
        <f t="shared" si="50"/>
        <v>0</v>
      </c>
      <c r="Z203" s="168">
        <f t="shared" si="50"/>
        <v>0</v>
      </c>
    </row>
    <row r="204" spans="1:26" x14ac:dyDescent="0.25">
      <c r="A204" t="s">
        <v>769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770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771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772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773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774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775</v>
      </c>
      <c r="C212" s="168">
        <f>C201+C204+C206+C208</f>
        <v>0</v>
      </c>
      <c r="D212" s="168">
        <f t="shared" ref="D212:Z213" si="51">D201+D204+D206+D208</f>
        <v>0</v>
      </c>
      <c r="E212" s="168">
        <f t="shared" si="51"/>
        <v>4</v>
      </c>
      <c r="F212" s="168">
        <f t="shared" si="51"/>
        <v>6</v>
      </c>
      <c r="G212" s="168">
        <f t="shared" si="51"/>
        <v>6</v>
      </c>
      <c r="H212" s="168">
        <f t="shared" si="51"/>
        <v>8</v>
      </c>
      <c r="I212" s="168">
        <f t="shared" si="51"/>
        <v>8</v>
      </c>
      <c r="J212" s="168">
        <f t="shared" si="51"/>
        <v>8</v>
      </c>
      <c r="K212" s="168">
        <f t="shared" si="51"/>
        <v>8</v>
      </c>
      <c r="L212" s="168">
        <f t="shared" si="51"/>
        <v>6</v>
      </c>
      <c r="M212" s="168">
        <f t="shared" si="51"/>
        <v>4</v>
      </c>
      <c r="N212" s="168">
        <f t="shared" si="51"/>
        <v>0</v>
      </c>
      <c r="O212" s="168">
        <f t="shared" si="51"/>
        <v>0</v>
      </c>
      <c r="P212" s="168">
        <f t="shared" si="51"/>
        <v>0</v>
      </c>
      <c r="Q212" s="168">
        <f t="shared" si="51"/>
        <v>0</v>
      </c>
      <c r="R212" s="168">
        <f t="shared" si="51"/>
        <v>2</v>
      </c>
      <c r="S212" s="168">
        <f t="shared" si="51"/>
        <v>2</v>
      </c>
      <c r="T212" s="168">
        <f t="shared" si="51"/>
        <v>4</v>
      </c>
      <c r="U212" s="168">
        <f t="shared" si="51"/>
        <v>4</v>
      </c>
      <c r="V212" s="168">
        <f t="shared" si="51"/>
        <v>4</v>
      </c>
      <c r="W212" s="168">
        <f t="shared" si="51"/>
        <v>4</v>
      </c>
      <c r="X212" s="168">
        <f t="shared" si="51"/>
        <v>4</v>
      </c>
      <c r="Y212" s="168">
        <f t="shared" si="51"/>
        <v>0</v>
      </c>
      <c r="Z212" s="168">
        <f t="shared" si="51"/>
        <v>0</v>
      </c>
    </row>
    <row r="213" spans="1:26" x14ac:dyDescent="0.25">
      <c r="A213" s="15" t="s">
        <v>776</v>
      </c>
      <c r="C213" s="168">
        <f>C202+C205+C207+C209</f>
        <v>0</v>
      </c>
      <c r="D213" s="168">
        <f t="shared" si="51"/>
        <v>0</v>
      </c>
      <c r="E213" s="168">
        <f t="shared" si="51"/>
        <v>0</v>
      </c>
      <c r="F213" s="168">
        <f t="shared" si="51"/>
        <v>0</v>
      </c>
      <c r="G213" s="168">
        <f t="shared" si="51"/>
        <v>0</v>
      </c>
      <c r="H213" s="168">
        <f t="shared" si="51"/>
        <v>0</v>
      </c>
      <c r="I213" s="168">
        <f t="shared" si="51"/>
        <v>0</v>
      </c>
      <c r="J213" s="168">
        <f t="shared" si="51"/>
        <v>0</v>
      </c>
      <c r="K213" s="168">
        <f t="shared" si="51"/>
        <v>0</v>
      </c>
      <c r="L213" s="168">
        <f t="shared" si="51"/>
        <v>0</v>
      </c>
      <c r="M213" s="168">
        <f t="shared" si="51"/>
        <v>0</v>
      </c>
      <c r="N213" s="168">
        <f t="shared" si="51"/>
        <v>8</v>
      </c>
      <c r="O213" s="168">
        <f t="shared" si="51"/>
        <v>8</v>
      </c>
      <c r="P213" s="168">
        <f t="shared" si="51"/>
        <v>8</v>
      </c>
      <c r="Q213" s="168">
        <f t="shared" si="51"/>
        <v>8</v>
      </c>
      <c r="R213" s="168">
        <f t="shared" si="51"/>
        <v>8</v>
      </c>
      <c r="S213" s="168">
        <f t="shared" si="51"/>
        <v>8</v>
      </c>
      <c r="T213" s="168">
        <f t="shared" si="51"/>
        <v>0</v>
      </c>
      <c r="U213" s="168">
        <f t="shared" si="51"/>
        <v>0</v>
      </c>
      <c r="V213" s="168">
        <f t="shared" si="51"/>
        <v>0</v>
      </c>
      <c r="W213" s="168">
        <f t="shared" si="51"/>
        <v>0</v>
      </c>
      <c r="X213" s="168">
        <f t="shared" si="51"/>
        <v>0</v>
      </c>
      <c r="Y213" s="168">
        <f t="shared" si="51"/>
        <v>0</v>
      </c>
      <c r="Z213" s="168">
        <f t="shared" si="51"/>
        <v>0</v>
      </c>
    </row>
    <row r="214" spans="1:26" x14ac:dyDescent="0.25">
      <c r="A214" s="15" t="s">
        <v>777</v>
      </c>
      <c r="C214" s="168">
        <f>C212+C213</f>
        <v>0</v>
      </c>
      <c r="D214" s="168">
        <f t="shared" ref="D214:Z214" si="52">D212+D213</f>
        <v>0</v>
      </c>
      <c r="E214" s="168">
        <f t="shared" si="52"/>
        <v>4</v>
      </c>
      <c r="F214" s="168">
        <f t="shared" si="52"/>
        <v>6</v>
      </c>
      <c r="G214" s="168">
        <f t="shared" si="52"/>
        <v>6</v>
      </c>
      <c r="H214" s="168">
        <f t="shared" si="52"/>
        <v>8</v>
      </c>
      <c r="I214" s="168">
        <f t="shared" si="52"/>
        <v>8</v>
      </c>
      <c r="J214" s="168">
        <f t="shared" si="52"/>
        <v>8</v>
      </c>
      <c r="K214" s="168">
        <f t="shared" si="52"/>
        <v>8</v>
      </c>
      <c r="L214" s="168">
        <f t="shared" si="52"/>
        <v>6</v>
      </c>
      <c r="M214" s="168">
        <f t="shared" si="52"/>
        <v>4</v>
      </c>
      <c r="N214" s="168">
        <f t="shared" si="52"/>
        <v>8</v>
      </c>
      <c r="O214" s="168">
        <f t="shared" si="52"/>
        <v>8</v>
      </c>
      <c r="P214" s="168">
        <f t="shared" si="52"/>
        <v>8</v>
      </c>
      <c r="Q214" s="168">
        <f t="shared" si="52"/>
        <v>8</v>
      </c>
      <c r="R214" s="168">
        <f t="shared" si="52"/>
        <v>10</v>
      </c>
      <c r="S214" s="168">
        <f t="shared" si="52"/>
        <v>10</v>
      </c>
      <c r="T214" s="168">
        <f t="shared" si="52"/>
        <v>4</v>
      </c>
      <c r="U214" s="168">
        <f t="shared" si="52"/>
        <v>4</v>
      </c>
      <c r="V214" s="168">
        <f t="shared" si="52"/>
        <v>4</v>
      </c>
      <c r="W214" s="168">
        <f t="shared" si="52"/>
        <v>4</v>
      </c>
      <c r="X214" s="168">
        <f t="shared" si="52"/>
        <v>4</v>
      </c>
      <c r="Y214" s="168">
        <f t="shared" si="52"/>
        <v>0</v>
      </c>
      <c r="Z214" s="168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2" activePane="bottomLeft" state="frozen"/>
      <selection activeCell="U264" sqref="U264"/>
      <selection pane="bottomLeft" activeCell="F76" sqref="F7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778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1" t="s">
        <v>779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779</v>
      </c>
      <c r="AS2" s="40" t="s">
        <v>570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584</v>
      </c>
      <c r="BZ2" s="168" t="str">
        <f>Troupeau!C3</f>
        <v>BV</v>
      </c>
      <c r="CA2" s="168">
        <f>IF(BZ2="OL",1,IF(BZ2="BV",2,IF(BZ2="BL",3,IF(BZ2="EQ",4,0))))</f>
        <v>2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591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780</v>
      </c>
      <c r="B3" s="2"/>
      <c r="C3" s="2"/>
      <c r="D3" s="23"/>
      <c r="E3" s="23"/>
      <c r="AR3" s="181" t="s">
        <v>779</v>
      </c>
      <c r="AT3" s="2" t="s">
        <v>781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782</v>
      </c>
      <c r="B4" s="2"/>
      <c r="C4" s="2"/>
      <c r="D4" s="23"/>
      <c r="E4" s="23"/>
      <c r="F4" s="33"/>
      <c r="AR4" s="181" t="s">
        <v>779</v>
      </c>
      <c r="AT4" s="182" t="str">
        <f>AT26</f>
        <v>Brebis  lot princ</v>
      </c>
      <c r="AU4" s="167"/>
      <c r="AV4" s="168">
        <f>CdTrp1!B15</f>
        <v>162.96028880866427</v>
      </c>
      <c r="AW4" s="168">
        <f>CdTrp1!C15</f>
        <v>168.24548736462094</v>
      </c>
      <c r="AX4" s="168">
        <f>CdTrp1!D15</f>
        <v>173.53068592057761</v>
      </c>
      <c r="AY4" s="168">
        <f>CdTrp1!E15</f>
        <v>166.48375451263539</v>
      </c>
      <c r="AZ4" s="168">
        <f>CdTrp1!F15</f>
        <v>171.76895306859205</v>
      </c>
      <c r="BA4" s="168">
        <f>CdTrp1!G15</f>
        <v>177.93501805054152</v>
      </c>
      <c r="BB4" s="168">
        <f>CdTrp1!H15</f>
        <v>184.10108303249098</v>
      </c>
      <c r="BC4" s="168">
        <f>CdTrp1!I15</f>
        <v>191.1480144404332</v>
      </c>
      <c r="BD4" s="168">
        <f>CdTrp1!J15</f>
        <v>198.19494584837545</v>
      </c>
      <c r="BE4" s="168">
        <f>CdTrp1!K15</f>
        <v>207.88447653429603</v>
      </c>
      <c r="BF4" s="168">
        <f>CdTrp1!L15</f>
        <v>213.1696750902527</v>
      </c>
      <c r="BG4" s="168">
        <f>CdTrp1!M15</f>
        <v>213.1696750902527</v>
      </c>
      <c r="BH4" s="168">
        <f>CdTrp1!N15</f>
        <v>213.1696750902527</v>
      </c>
      <c r="BI4" s="168">
        <f>CdTrp1!O15</f>
        <v>213.1696750902527</v>
      </c>
      <c r="BJ4" s="168">
        <f>CdTrp1!P15</f>
        <v>213.1696750902527</v>
      </c>
      <c r="BK4" s="168">
        <f>CdTrp1!Q15</f>
        <v>213.1696750902527</v>
      </c>
      <c r="BL4" s="168">
        <f>CdTrp1!R15</f>
        <v>213.1696750902527</v>
      </c>
      <c r="BM4" s="168">
        <f>CdTrp1!S15</f>
        <v>201.71841155234657</v>
      </c>
      <c r="BN4" s="168">
        <f>CdTrp1!T15</f>
        <v>201.71841155234657</v>
      </c>
      <c r="BO4" s="168">
        <f>CdTrp1!U15</f>
        <v>201.71841155234657</v>
      </c>
      <c r="BP4" s="168">
        <f>CdTrp1!V15</f>
        <v>229.02527075812273</v>
      </c>
      <c r="BQ4" s="168">
        <f>CdTrp1!W15</f>
        <v>229.02527075812273</v>
      </c>
      <c r="BR4" s="168">
        <f>CdTrp1!X15</f>
        <v>162.96028880866427</v>
      </c>
      <c r="BS4" s="168">
        <f>CdTrp1!Y15</f>
        <v>162.96028880866427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570</v>
      </c>
      <c r="F5" s="168">
        <f>SUM(G5:AD5)</f>
        <v>574</v>
      </c>
      <c r="G5" s="168">
        <f>AV117</f>
        <v>0</v>
      </c>
      <c r="H5" s="168">
        <f t="shared" ref="H5:AD5" si="0">AW117</f>
        <v>0</v>
      </c>
      <c r="I5" s="168">
        <f t="shared" si="0"/>
        <v>28</v>
      </c>
      <c r="J5" s="168">
        <f t="shared" si="0"/>
        <v>42</v>
      </c>
      <c r="K5" s="168">
        <f t="shared" si="0"/>
        <v>42</v>
      </c>
      <c r="L5" s="168">
        <f t="shared" si="0"/>
        <v>56</v>
      </c>
      <c r="M5" s="168">
        <f t="shared" si="0"/>
        <v>56</v>
      </c>
      <c r="N5" s="168">
        <f t="shared" si="0"/>
        <v>56</v>
      </c>
      <c r="O5" s="168">
        <f t="shared" si="0"/>
        <v>56</v>
      </c>
      <c r="P5" s="168">
        <f t="shared" si="0"/>
        <v>42</v>
      </c>
      <c r="Q5" s="168">
        <f t="shared" si="0"/>
        <v>28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14</v>
      </c>
      <c r="W5" s="168">
        <f t="shared" si="0"/>
        <v>14</v>
      </c>
      <c r="X5" s="168">
        <f t="shared" si="0"/>
        <v>28</v>
      </c>
      <c r="Y5" s="168">
        <f t="shared" si="0"/>
        <v>28</v>
      </c>
      <c r="Z5" s="168">
        <f t="shared" si="0"/>
        <v>28</v>
      </c>
      <c r="AA5" s="168">
        <f t="shared" si="0"/>
        <v>28</v>
      </c>
      <c r="AB5" s="168">
        <f t="shared" si="0"/>
        <v>28</v>
      </c>
      <c r="AC5" s="168">
        <f t="shared" si="0"/>
        <v>0</v>
      </c>
      <c r="AD5" s="168">
        <f t="shared" si="0"/>
        <v>0</v>
      </c>
      <c r="AR5" s="181" t="s">
        <v>779</v>
      </c>
      <c r="AT5" s="182" t="str">
        <f t="shared" ref="AT5:AT13" si="1">AT27</f>
        <v>Brebis tardives + antenaises</v>
      </c>
      <c r="AU5" s="167"/>
      <c r="AV5" s="168">
        <f>CdTrp1!B16</f>
        <v>68.707581227436819</v>
      </c>
      <c r="AW5" s="168">
        <f>CdTrp1!C16</f>
        <v>61.660649819494587</v>
      </c>
      <c r="AX5" s="168">
        <f>CdTrp1!D16</f>
        <v>54.613718411552348</v>
      </c>
      <c r="AY5" s="168">
        <f>CdTrp1!E16</f>
        <v>47.566787003610109</v>
      </c>
      <c r="AZ5" s="168">
        <f>CdTrp1!F16</f>
        <v>40.51985559566787</v>
      </c>
      <c r="BA5" s="168">
        <f>CdTrp1!G16</f>
        <v>33.472924187725631</v>
      </c>
      <c r="BB5" s="168">
        <f>CdTrp1!H16</f>
        <v>26.425992779783392</v>
      </c>
      <c r="BC5" s="168">
        <f>CdTrp1!I16</f>
        <v>18.498194945848375</v>
      </c>
      <c r="BD5" s="168">
        <f>CdTrp1!J16</f>
        <v>10.570397111913357</v>
      </c>
      <c r="BE5" s="168">
        <f>CdTrp1!K16</f>
        <v>0</v>
      </c>
      <c r="BF5" s="168">
        <f>CdTrp1!L16</f>
        <v>0</v>
      </c>
      <c r="BG5" s="168">
        <f>CdTrp1!M16</f>
        <v>0</v>
      </c>
      <c r="BH5" s="168">
        <f>CdTrp1!N16</f>
        <v>0</v>
      </c>
      <c r="BI5" s="168">
        <f>CdTrp1!O16</f>
        <v>0</v>
      </c>
      <c r="BJ5" s="168">
        <f>CdTrp1!P16</f>
        <v>0</v>
      </c>
      <c r="BK5" s="168">
        <f>CdTrp1!Q16</f>
        <v>0</v>
      </c>
      <c r="BL5" s="168">
        <f>CdTrp1!R16</f>
        <v>0</v>
      </c>
      <c r="BM5" s="168">
        <f>CdTrp1!S16</f>
        <v>0</v>
      </c>
      <c r="BN5" s="168">
        <f>CdTrp1!T16</f>
        <v>0</v>
      </c>
      <c r="BO5" s="168">
        <f>CdTrp1!U16</f>
        <v>0</v>
      </c>
      <c r="BP5" s="168">
        <f>CdTrp1!V16</f>
        <v>2.6425992779783392</v>
      </c>
      <c r="BQ5" s="168">
        <f>CdTrp1!W16</f>
        <v>2.6425992779783392</v>
      </c>
      <c r="BR5" s="168">
        <f>CdTrp1!X16</f>
        <v>68.707581227436819</v>
      </c>
      <c r="BS5" s="168">
        <f>CdTrp1!Y16</f>
        <v>68.707581227436819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584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779</v>
      </c>
      <c r="AT6" s="182" t="str">
        <f t="shared" si="1"/>
        <v>Brebis vides + agnelles</v>
      </c>
      <c r="AU6" s="167"/>
      <c r="AV6" s="168">
        <f>CdTrp1!B17</f>
        <v>59.898916967509024</v>
      </c>
      <c r="AW6" s="168">
        <f>CdTrp1!C17</f>
        <v>59.898916967509024</v>
      </c>
      <c r="AX6" s="168">
        <f>CdTrp1!D17</f>
        <v>59.898916967509024</v>
      </c>
      <c r="AY6" s="168">
        <f>CdTrp1!E17</f>
        <v>59.898916967509024</v>
      </c>
      <c r="AZ6" s="168">
        <f>CdTrp1!F17</f>
        <v>59.898916967509024</v>
      </c>
      <c r="BA6" s="168">
        <f>CdTrp1!G17</f>
        <v>59.898916967509024</v>
      </c>
      <c r="BB6" s="168">
        <f>CdTrp1!H17</f>
        <v>59.898916967509024</v>
      </c>
      <c r="BC6" s="168">
        <f>CdTrp1!I17</f>
        <v>59.898916967509024</v>
      </c>
      <c r="BD6" s="168">
        <f>CdTrp1!J17</f>
        <v>59.898916967509024</v>
      </c>
      <c r="BE6" s="168">
        <f>CdTrp1!K17</f>
        <v>59.898916967509024</v>
      </c>
      <c r="BF6" s="168">
        <f>CdTrp1!L17</f>
        <v>47.566787003610109</v>
      </c>
      <c r="BG6" s="168">
        <f>CdTrp1!M17</f>
        <v>47.566787003610109</v>
      </c>
      <c r="BH6" s="168">
        <f>CdTrp1!N17</f>
        <v>47.566787003610109</v>
      </c>
      <c r="BI6" s="168">
        <f>CdTrp1!O17</f>
        <v>47.566787003610109</v>
      </c>
      <c r="BJ6" s="168">
        <f>CdTrp1!P17</f>
        <v>47.566787003610109</v>
      </c>
      <c r="BK6" s="168">
        <f>CdTrp1!Q17</f>
        <v>47.566787003610109</v>
      </c>
      <c r="BL6" s="168">
        <f>CdTrp1!R17</f>
        <v>47.566787003610109</v>
      </c>
      <c r="BM6" s="168">
        <f>CdTrp1!S17</f>
        <v>47.566787003610109</v>
      </c>
      <c r="BN6" s="168">
        <f>CdTrp1!T17</f>
        <v>47.566787003610109</v>
      </c>
      <c r="BO6" s="168">
        <f>CdTrp1!U17</f>
        <v>47.566787003610109</v>
      </c>
      <c r="BP6" s="168">
        <f>CdTrp1!V17</f>
        <v>12.332129963898916</v>
      </c>
      <c r="BQ6" s="168">
        <f>CdTrp1!W17</f>
        <v>12.332129963898916</v>
      </c>
      <c r="BR6" s="168">
        <f>CdTrp1!X17</f>
        <v>59.898916967509024</v>
      </c>
      <c r="BS6" s="168">
        <f>CdTrp1!Y17</f>
        <v>59.898916967509024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591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779</v>
      </c>
      <c r="AT7" s="182" t="str">
        <f t="shared" si="1"/>
        <v>Béliers</v>
      </c>
      <c r="AU7" s="167"/>
      <c r="AV7" s="168">
        <f>CdTrp1!B18</f>
        <v>5.2851985559566783</v>
      </c>
      <c r="AW7" s="168">
        <f>CdTrp1!C18</f>
        <v>5.2851985559566783</v>
      </c>
      <c r="AX7" s="168">
        <f>CdTrp1!D18</f>
        <v>5.2851985559566783</v>
      </c>
      <c r="AY7" s="168">
        <f>CdTrp1!E18</f>
        <v>5.2851985559566783</v>
      </c>
      <c r="AZ7" s="168">
        <f>CdTrp1!F18</f>
        <v>5.2851985559566783</v>
      </c>
      <c r="BA7" s="168">
        <f>CdTrp1!G18</f>
        <v>5.2851985559566783</v>
      </c>
      <c r="BB7" s="168">
        <f>CdTrp1!H18</f>
        <v>5.2851985559566783</v>
      </c>
      <c r="BC7" s="168">
        <f>CdTrp1!I18</f>
        <v>5.2851985559566783</v>
      </c>
      <c r="BD7" s="168">
        <f>CdTrp1!J18</f>
        <v>5.2851985559566783</v>
      </c>
      <c r="BE7" s="168">
        <f>CdTrp1!K18</f>
        <v>5.2851985559566783</v>
      </c>
      <c r="BF7" s="168">
        <f>CdTrp1!L18</f>
        <v>0</v>
      </c>
      <c r="BG7" s="168">
        <f>CdTrp1!M18</f>
        <v>0</v>
      </c>
      <c r="BH7" s="168">
        <f>CdTrp1!N18</f>
        <v>0</v>
      </c>
      <c r="BI7" s="168">
        <f>CdTrp1!O18</f>
        <v>0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5.2851985559566783</v>
      </c>
      <c r="BQ7" s="168">
        <f>CdTrp1!W18</f>
        <v>5.2851985559566783</v>
      </c>
      <c r="BR7" s="168">
        <f>CdTrp1!X18</f>
        <v>5.2851985559566783</v>
      </c>
      <c r="BS7" s="168">
        <f>CdTrp1!Y18</f>
        <v>5.2851985559566783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783</v>
      </c>
      <c r="B8" s="2"/>
      <c r="C8" s="2"/>
      <c r="D8" s="23"/>
      <c r="E8" s="23"/>
      <c r="AR8" s="181" t="s">
        <v>779</v>
      </c>
      <c r="AT8" s="182" t="str">
        <f t="shared" si="1"/>
        <v>lot5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570</v>
      </c>
      <c r="F9" s="168">
        <f>SUM(G9:AD9)</f>
        <v>749.59487364620941</v>
      </c>
      <c r="G9" s="30">
        <f>AV102</f>
        <v>50.639819494584842</v>
      </c>
      <c r="H9" s="30">
        <f t="shared" ref="H9:AD9" si="4">AW102</f>
        <v>50.578158844765341</v>
      </c>
      <c r="I9" s="30">
        <f t="shared" si="4"/>
        <v>50.516498194945846</v>
      </c>
      <c r="J9" s="30">
        <f t="shared" si="4"/>
        <v>50.023212996389894</v>
      </c>
      <c r="K9" s="30">
        <f t="shared" si="4"/>
        <v>49.9615523465704</v>
      </c>
      <c r="L9" s="30">
        <f t="shared" si="4"/>
        <v>28.93072202166065</v>
      </c>
      <c r="M9" s="30">
        <f t="shared" si="4"/>
        <v>28.899891696750906</v>
      </c>
      <c r="N9" s="30">
        <f t="shared" si="4"/>
        <v>28.869061371841156</v>
      </c>
      <c r="O9" s="30">
        <f t="shared" si="4"/>
        <v>28.838231046931408</v>
      </c>
      <c r="P9" s="30">
        <f t="shared" si="4"/>
        <v>28.807400722021661</v>
      </c>
      <c r="Q9" s="30">
        <f t="shared" si="4"/>
        <v>28.375776173285196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21</v>
      </c>
      <c r="W9" s="30">
        <f t="shared" si="4"/>
        <v>21</v>
      </c>
      <c r="X9" s="30">
        <f t="shared" si="4"/>
        <v>27.974981949458485</v>
      </c>
      <c r="Y9" s="30">
        <f t="shared" si="4"/>
        <v>27.974981949458485</v>
      </c>
      <c r="Z9" s="30">
        <f t="shared" si="4"/>
        <v>27.974981949458485</v>
      </c>
      <c r="AA9" s="30">
        <f t="shared" si="4"/>
        <v>48.974981949458481</v>
      </c>
      <c r="AB9" s="30">
        <f t="shared" si="4"/>
        <v>48.974981949458481</v>
      </c>
      <c r="AC9" s="30">
        <f t="shared" si="4"/>
        <v>50.639819494584842</v>
      </c>
      <c r="AD9" s="30">
        <f t="shared" si="4"/>
        <v>50.639819494584842</v>
      </c>
      <c r="AR9" s="181" t="s">
        <v>779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584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779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591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779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779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784</v>
      </c>
      <c r="F13" s="168">
        <f t="shared" si="5"/>
        <v>1323.594873646209</v>
      </c>
      <c r="G13" s="30">
        <f>SUM(G5:G11)</f>
        <v>50.639819494584842</v>
      </c>
      <c r="H13" s="30">
        <f t="shared" ref="H13:AD13" si="8">SUM(H5:H11)</f>
        <v>50.578158844765341</v>
      </c>
      <c r="I13" s="30">
        <f t="shared" si="8"/>
        <v>78.516498194945854</v>
      </c>
      <c r="J13" s="30">
        <f t="shared" si="8"/>
        <v>92.023212996389901</v>
      </c>
      <c r="K13" s="30">
        <f t="shared" si="8"/>
        <v>91.9615523465704</v>
      </c>
      <c r="L13" s="30">
        <f t="shared" si="8"/>
        <v>84.930722021660642</v>
      </c>
      <c r="M13" s="30">
        <f t="shared" si="8"/>
        <v>84.899891696750899</v>
      </c>
      <c r="N13" s="30">
        <f t="shared" si="8"/>
        <v>84.869061371841156</v>
      </c>
      <c r="O13" s="30">
        <f t="shared" si="8"/>
        <v>84.838231046931412</v>
      </c>
      <c r="P13" s="30">
        <f t="shared" si="8"/>
        <v>70.807400722021669</v>
      </c>
      <c r="Q13" s="30">
        <f t="shared" si="8"/>
        <v>56.375776173285196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35</v>
      </c>
      <c r="W13" s="30">
        <f t="shared" si="8"/>
        <v>35</v>
      </c>
      <c r="X13" s="30">
        <f t="shared" si="8"/>
        <v>55.974981949458481</v>
      </c>
      <c r="Y13" s="30">
        <f t="shared" si="8"/>
        <v>55.974981949458481</v>
      </c>
      <c r="Z13" s="30">
        <f t="shared" si="8"/>
        <v>55.974981949458481</v>
      </c>
      <c r="AA13" s="30">
        <f t="shared" si="8"/>
        <v>76.974981949458481</v>
      </c>
      <c r="AB13" s="30">
        <f t="shared" si="8"/>
        <v>76.974981949458481</v>
      </c>
      <c r="AC13" s="30">
        <f t="shared" si="8"/>
        <v>50.639819494584842</v>
      </c>
      <c r="AD13" s="30">
        <f t="shared" si="8"/>
        <v>50.639819494584842</v>
      </c>
      <c r="AR13" s="181" t="s">
        <v>779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779</v>
      </c>
      <c r="AT14" s="2" t="s">
        <v>785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786</v>
      </c>
      <c r="B15" s="166" t="s">
        <v>787</v>
      </c>
      <c r="C15" s="166" t="s">
        <v>788</v>
      </c>
      <c r="D15" s="167" t="s">
        <v>789</v>
      </c>
      <c r="E15" s="167" t="s">
        <v>790</v>
      </c>
      <c r="F15" s="166" t="s">
        <v>791</v>
      </c>
      <c r="H15" s="15"/>
      <c r="AR15" s="181"/>
      <c r="AT15" s="182" t="str">
        <f>AT26</f>
        <v>Brebis  lot princ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570</v>
      </c>
      <c r="B16" s="183">
        <f>Scénario!K56</f>
        <v>3</v>
      </c>
      <c r="C16" s="183">
        <f>VALUE(LEFT(Scénario!K57,1))</f>
        <v>4</v>
      </c>
      <c r="D16" s="183">
        <f>IF(B16&gt;0,VLOOKUP(C16,[1]Trav!$A$86:$D$90,4),0)</f>
        <v>112</v>
      </c>
      <c r="E16" s="183">
        <f>Scénario!K54*2</f>
        <v>6</v>
      </c>
      <c r="F16" s="168">
        <f>IF(B16&gt;0,D16*E16/B16,0)</f>
        <v>224</v>
      </c>
      <c r="H16" t="s">
        <v>792</v>
      </c>
      <c r="AR16" s="181"/>
      <c r="AT16" s="182" t="str">
        <f t="shared" ref="AT16:AT24" si="14">AT27</f>
        <v>Brebis tardives + antenaises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0</v>
      </c>
      <c r="BF16" s="168">
        <f t="shared" si="9"/>
        <v>0</v>
      </c>
      <c r="BG16" s="168">
        <f t="shared" si="9"/>
        <v>0</v>
      </c>
      <c r="BH16" s="168">
        <f t="shared" si="9"/>
        <v>0</v>
      </c>
      <c r="BI16" s="168">
        <f t="shared" si="9"/>
        <v>0</v>
      </c>
      <c r="BJ16" s="168">
        <f t="shared" si="9"/>
        <v>0</v>
      </c>
      <c r="BK16" s="168">
        <f t="shared" si="9"/>
        <v>0</v>
      </c>
      <c r="BL16" s="168">
        <f t="shared" si="9"/>
        <v>0</v>
      </c>
      <c r="BM16" s="168">
        <f t="shared" si="9"/>
        <v>0</v>
      </c>
      <c r="BN16" s="168">
        <f t="shared" si="9"/>
        <v>0</v>
      </c>
      <c r="BO16" s="168">
        <f t="shared" si="9"/>
        <v>0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584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Brebis vides + agnelles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1</v>
      </c>
      <c r="BK17" s="168">
        <f t="shared" si="9"/>
        <v>1</v>
      </c>
      <c r="BL17" s="168">
        <f t="shared" si="9"/>
        <v>1</v>
      </c>
      <c r="BM17" s="168">
        <f t="shared" si="9"/>
        <v>1</v>
      </c>
      <c r="BN17" s="168">
        <f t="shared" si="9"/>
        <v>1</v>
      </c>
      <c r="BO17" s="168">
        <f t="shared" si="9"/>
        <v>1</v>
      </c>
      <c r="BP17" s="168">
        <f t="shared" si="9"/>
        <v>1</v>
      </c>
      <c r="BQ17" s="168">
        <f t="shared" si="9"/>
        <v>1</v>
      </c>
      <c r="BR17" s="168">
        <f t="shared" si="9"/>
        <v>1</v>
      </c>
      <c r="BS17" s="168">
        <f t="shared" si="9"/>
        <v>1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591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0</v>
      </c>
      <c r="BG18" s="168">
        <f t="shared" si="9"/>
        <v>0</v>
      </c>
      <c r="BH18" s="168">
        <f t="shared" si="9"/>
        <v>0</v>
      </c>
      <c r="BI18" s="168">
        <f t="shared" si="9"/>
        <v>0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1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793</v>
      </c>
      <c r="B19" s="166"/>
      <c r="C19" s="166"/>
      <c r="D19" s="167"/>
      <c r="E19" s="167"/>
      <c r="AR19" s="181"/>
      <c r="AT19" s="182" t="str">
        <f t="shared" si="14"/>
        <v>lot5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570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584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591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794</v>
      </c>
      <c r="AU25" s="177"/>
      <c r="BZ25" s="184" t="s">
        <v>794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794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Brebis  lot princ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795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Brebis tardives + antenaises</v>
      </c>
      <c r="AU27" s="185" t="str">
        <f>Scénario!K97</f>
        <v>faible</v>
      </c>
      <c r="AV27" s="168">
        <f t="shared" si="17"/>
        <v>1</v>
      </c>
      <c r="AW27" s="168">
        <f t="shared" si="17"/>
        <v>1</v>
      </c>
      <c r="AX27" s="168">
        <f t="shared" si="17"/>
        <v>1</v>
      </c>
      <c r="AY27" s="168">
        <f t="shared" si="17"/>
        <v>1</v>
      </c>
      <c r="AZ27" s="168">
        <f t="shared" si="17"/>
        <v>1</v>
      </c>
      <c r="BA27" s="168">
        <f t="shared" si="17"/>
        <v>1</v>
      </c>
      <c r="BB27" s="168">
        <f t="shared" si="17"/>
        <v>1</v>
      </c>
      <c r="BC27" s="168">
        <f t="shared" si="17"/>
        <v>1</v>
      </c>
      <c r="BD27" s="168">
        <f t="shared" si="17"/>
        <v>1</v>
      </c>
      <c r="BE27" s="168">
        <f t="shared" si="17"/>
        <v>1</v>
      </c>
      <c r="BF27" s="168">
        <f t="shared" si="17"/>
        <v>1</v>
      </c>
      <c r="BG27" s="168">
        <f t="shared" si="17"/>
        <v>1</v>
      </c>
      <c r="BH27" s="168">
        <f t="shared" si="17"/>
        <v>1</v>
      </c>
      <c r="BI27" s="168">
        <f t="shared" si="17"/>
        <v>1</v>
      </c>
      <c r="BJ27" s="168">
        <f t="shared" si="17"/>
        <v>1</v>
      </c>
      <c r="BK27" s="168">
        <f t="shared" si="17"/>
        <v>1</v>
      </c>
      <c r="BL27" s="168">
        <f t="shared" si="18"/>
        <v>1</v>
      </c>
      <c r="BM27" s="168">
        <f t="shared" si="18"/>
        <v>1</v>
      </c>
      <c r="BN27" s="168">
        <f t="shared" si="18"/>
        <v>1</v>
      </c>
      <c r="BO27" s="168">
        <f t="shared" si="18"/>
        <v>1</v>
      </c>
      <c r="BP27" s="168">
        <f t="shared" si="18"/>
        <v>1</v>
      </c>
      <c r="BQ27" s="168">
        <f t="shared" si="18"/>
        <v>1</v>
      </c>
      <c r="BR27" s="168">
        <f t="shared" si="18"/>
        <v>1</v>
      </c>
      <c r="BS27" s="168">
        <f t="shared" si="18"/>
        <v>1</v>
      </c>
      <c r="BU27">
        <v>2</v>
      </c>
      <c r="BV27" t="s">
        <v>640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779</v>
      </c>
      <c r="AT28" s="182" t="str">
        <f>CdTrp1!A17</f>
        <v>Brebis vides + agnelles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641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779</v>
      </c>
      <c r="AT29" s="182" t="str">
        <f>CdTrp1!A18</f>
        <v>Béliers</v>
      </c>
      <c r="AU29" s="185" t="str">
        <f>Scénario!K99</f>
        <v>faible</v>
      </c>
      <c r="AV29" s="168">
        <f t="shared" si="17"/>
        <v>1</v>
      </c>
      <c r="AW29" s="168">
        <f t="shared" si="17"/>
        <v>1</v>
      </c>
      <c r="AX29" s="168">
        <f t="shared" si="17"/>
        <v>1</v>
      </c>
      <c r="AY29" s="168">
        <f t="shared" si="17"/>
        <v>1</v>
      </c>
      <c r="AZ29" s="168">
        <f t="shared" si="17"/>
        <v>1</v>
      </c>
      <c r="BA29" s="168">
        <f t="shared" si="17"/>
        <v>1</v>
      </c>
      <c r="BB29" s="168">
        <f t="shared" si="17"/>
        <v>1</v>
      </c>
      <c r="BC29" s="168">
        <f t="shared" si="17"/>
        <v>1</v>
      </c>
      <c r="BD29" s="168">
        <f t="shared" si="17"/>
        <v>1</v>
      </c>
      <c r="BE29" s="168">
        <f t="shared" si="17"/>
        <v>1</v>
      </c>
      <c r="BF29" s="168">
        <f t="shared" si="17"/>
        <v>1</v>
      </c>
      <c r="BG29" s="168">
        <f t="shared" si="17"/>
        <v>1</v>
      </c>
      <c r="BH29" s="168">
        <f t="shared" si="17"/>
        <v>1</v>
      </c>
      <c r="BI29" s="168">
        <f t="shared" si="17"/>
        <v>1</v>
      </c>
      <c r="BJ29" s="168">
        <f t="shared" si="17"/>
        <v>1</v>
      </c>
      <c r="BK29" s="168">
        <f t="shared" si="17"/>
        <v>1</v>
      </c>
      <c r="BL29" s="168">
        <f t="shared" si="18"/>
        <v>1</v>
      </c>
      <c r="BM29" s="168">
        <f t="shared" si="18"/>
        <v>1</v>
      </c>
      <c r="BN29" s="168">
        <f t="shared" si="18"/>
        <v>1</v>
      </c>
      <c r="BO29" s="168">
        <f t="shared" si="18"/>
        <v>1</v>
      </c>
      <c r="BP29" s="168">
        <f t="shared" si="18"/>
        <v>1</v>
      </c>
      <c r="BQ29" s="168">
        <f t="shared" si="18"/>
        <v>1</v>
      </c>
      <c r="BR29" s="168">
        <f t="shared" si="18"/>
        <v>1</v>
      </c>
      <c r="BS29" s="168">
        <f t="shared" si="18"/>
        <v>1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796</v>
      </c>
      <c r="B30" s="186" t="s">
        <v>797</v>
      </c>
      <c r="C30" s="186" t="s">
        <v>798</v>
      </c>
      <c r="D30" s="187"/>
      <c r="E30" s="187"/>
      <c r="AR30" s="181" t="s">
        <v>779</v>
      </c>
      <c r="AT30" s="182" t="str">
        <f>CdTrp1!A19</f>
        <v>lot5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570</v>
      </c>
      <c r="B31" s="168">
        <f>Troupeau!B18</f>
        <v>231</v>
      </c>
      <c r="C31" s="183">
        <f>IF(B31&gt;0,VLOOKUP(Troupeau!B3,[1]Trav!$A$96:$B$99,2),0)</f>
        <v>110</v>
      </c>
      <c r="D31" s="167"/>
      <c r="E31" s="167"/>
      <c r="F31" s="168">
        <f>B31*C31/60</f>
        <v>423.5</v>
      </c>
      <c r="AR31" s="181" t="s">
        <v>779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584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779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591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779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799</v>
      </c>
      <c r="B34" s="186" t="s">
        <v>800</v>
      </c>
      <c r="C34" s="186" t="s">
        <v>801</v>
      </c>
      <c r="D34" s="186" t="s">
        <v>802</v>
      </c>
      <c r="E34" s="187"/>
      <c r="F34" s="33"/>
      <c r="AR34" s="181" t="s">
        <v>779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570</v>
      </c>
      <c r="B35" s="183">
        <f>IF(Troupeau!B3="BL",[1]Trav!$F$102,IF(Troupeau!B3="OL",[1]Trav!$F$103,0))</f>
        <v>220</v>
      </c>
      <c r="C35" s="168">
        <f>Troupeau!B19</f>
        <v>219</v>
      </c>
      <c r="D35" s="183">
        <f>IF(Troupeau!B3="OL",[1]Trav!$B$103,0)</f>
        <v>2.4900000000000002</v>
      </c>
      <c r="E35" s="167"/>
      <c r="F35" s="168">
        <f>B35+C35*D35</f>
        <v>765.31000000000006</v>
      </c>
      <c r="AR35" s="181" t="s">
        <v>779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584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779</v>
      </c>
      <c r="AT36" s="2" t="s">
        <v>755</v>
      </c>
      <c r="BZ36" s="2" t="s">
        <v>755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755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591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779</v>
      </c>
      <c r="AT37" s="182" t="str">
        <f>CdTrp1!$A52</f>
        <v>Brebis  lot princ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1</v>
      </c>
      <c r="BH37" s="168">
        <f>IF(CdTrp1!N52=1,3,IF(CdTrp1!N52=0.5,2,IF(CdTrp1!N52=0,1,0)))</f>
        <v>1</v>
      </c>
      <c r="BI37" s="168">
        <f>IF(CdTrp1!O52=1,3,IF(CdTrp1!O52=0.5,2,IF(CdTrp1!O52=0,1,0)))</f>
        <v>1</v>
      </c>
      <c r="BJ37" s="168">
        <f>IF(CdTrp1!P52=1,3,IF(CdTrp1!P52=0.5,2,IF(CdTrp1!P52=0,1,0)))</f>
        <v>1</v>
      </c>
      <c r="BK37" s="168">
        <f>IF(CdTrp1!Q52=1,3,IF(CdTrp1!Q52=0.5,2,IF(CdTrp1!Q52=0,1,0)))</f>
        <v>1</v>
      </c>
      <c r="BL37" s="168">
        <f>IF(CdTrp1!R52=1,3,IF(CdTrp1!R52=0.5,2,IF(CdTrp1!R52=0,1,0)))</f>
        <v>1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803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804</v>
      </c>
      <c r="B38" s="188" t="s">
        <v>805</v>
      </c>
      <c r="C38" s="188" t="s">
        <v>806</v>
      </c>
      <c r="D38" s="187"/>
      <c r="E38" s="187"/>
      <c r="F38" s="33"/>
      <c r="AR38" s="181" t="s">
        <v>779</v>
      </c>
      <c r="AT38" s="258" t="str">
        <f>CdTrp1!$A53</f>
        <v>Brebis tardives + antenaises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2</v>
      </c>
      <c r="AY38" s="168">
        <f>IF(CdTrp1!E53=1,3,IF(CdTrp1!E53=0.5,2,IF(CdTrp1!E53=0,1,0)))</f>
        <v>2</v>
      </c>
      <c r="AZ38" s="168">
        <f>IF(CdTrp1!F53=1,3,IF(CdTrp1!F53=0.5,2,IF(CdTrp1!F53=0,1,0)))</f>
        <v>2</v>
      </c>
      <c r="BA38" s="168">
        <f>IF(CdTrp1!G53=1,3,IF(CdTrp1!G53=0.5,2,IF(CdTrp1!G53=0,1,0)))</f>
        <v>2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2</v>
      </c>
      <c r="BE38" s="168">
        <f>IF(CdTrp1!K53=1,3,IF(CdTrp1!K53=0.5,2,IF(CdTrp1!K53=0,1,0)))</f>
        <v>0</v>
      </c>
      <c r="BF38" s="168">
        <f>IF(CdTrp1!L53=1,3,IF(CdTrp1!L53=0.5,2,IF(CdTrp1!L53=0,1,0)))</f>
        <v>0</v>
      </c>
      <c r="BG38" s="168">
        <f>IF(CdTrp1!M53=1,3,IF(CdTrp1!M53=0.5,2,IF(CdTrp1!M53=0,1,0)))</f>
        <v>0</v>
      </c>
      <c r="BH38" s="168">
        <f>IF(CdTrp1!N53=1,3,IF(CdTrp1!N53=0.5,2,IF(CdTrp1!N53=0,1,0)))</f>
        <v>0</v>
      </c>
      <c r="BI38" s="168">
        <f>IF(CdTrp1!O53=1,3,IF(CdTrp1!O53=0.5,2,IF(CdTrp1!O53=0,1,0)))</f>
        <v>0</v>
      </c>
      <c r="BJ38" s="168">
        <f>IF(CdTrp1!P53=1,3,IF(CdTrp1!P53=0.5,2,IF(CdTrp1!P53=0,1,0)))</f>
        <v>0</v>
      </c>
      <c r="BK38" s="168">
        <f>IF(CdTrp1!Q53=1,3,IF(CdTrp1!Q53=0.5,2,IF(CdTrp1!Q53=0,1,0)))</f>
        <v>0</v>
      </c>
      <c r="BL38" s="168">
        <f>IF(CdTrp1!R53=1,3,IF(CdTrp1!R53=0.5,2,IF(CdTrp1!R53=0,1,0)))</f>
        <v>0</v>
      </c>
      <c r="BM38" s="168">
        <f>IF(CdTrp1!S53=1,3,IF(CdTrp1!S53=0.5,2,IF(CdTrp1!S53=0,1,0)))</f>
        <v>0</v>
      </c>
      <c r="BN38" s="168">
        <f>IF(CdTrp1!T53=1,3,IF(CdTrp1!T53=0.5,2,IF(CdTrp1!T53=0,1,0)))</f>
        <v>0</v>
      </c>
      <c r="BO38" s="168">
        <f>IF(CdTrp1!U53=1,3,IF(CdTrp1!U53=0.5,2,IF(CdTrp1!U53=0,1,0)))</f>
        <v>0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807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570</v>
      </c>
      <c r="B39" s="30">
        <f>Troupeau!B35*Scénario!K16/100</f>
        <v>30441</v>
      </c>
      <c r="C39" s="183">
        <f>IF(B39=0,0,VLOOKUP(Troupeau!B3,[1]Trav!$A$108:$B$109,2))</f>
        <v>2.2799999999999998</v>
      </c>
      <c r="D39" s="167"/>
      <c r="E39" s="167"/>
      <c r="F39" s="168">
        <f>ROUND(B39*C39/60,0)</f>
        <v>1157</v>
      </c>
      <c r="AR39" s="181" t="s">
        <v>779</v>
      </c>
      <c r="AT39" s="258" t="str">
        <f>CdTrp1!$A54</f>
        <v>Brebis vides + agnelles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2</v>
      </c>
      <c r="AY39" s="168">
        <f>IF(CdTrp1!E54=1,3,IF(CdTrp1!E54=0.5,2,IF(CdTrp1!E54=0,1,0)))</f>
        <v>2</v>
      </c>
      <c r="AZ39" s="168">
        <f>IF(CdTrp1!F54=1,3,IF(CdTrp1!F54=0.5,2,IF(CdTrp1!F54=0,1,0)))</f>
        <v>2</v>
      </c>
      <c r="BA39" s="168">
        <f>IF(CdTrp1!G54=1,3,IF(CdTrp1!G54=0.5,2,IF(CdTrp1!G54=0,1,0)))</f>
        <v>2</v>
      </c>
      <c r="BB39" s="168">
        <f>IF(CdTrp1!H54=1,3,IF(CdTrp1!H54=0.5,2,IF(CdTrp1!H54=0,1,0)))</f>
        <v>2</v>
      </c>
      <c r="BC39" s="168">
        <f>IF(CdTrp1!I54=1,3,IF(CdTrp1!I54=0.5,2,IF(CdTrp1!I54=0,1,0)))</f>
        <v>2</v>
      </c>
      <c r="BD39" s="168">
        <f>IF(CdTrp1!J54=1,3,IF(CdTrp1!J54=0.5,2,IF(CdTrp1!J54=0,1,0)))</f>
        <v>2</v>
      </c>
      <c r="BE39" s="168">
        <f>IF(CdTrp1!K54=1,3,IF(CdTrp1!K54=0.5,2,IF(CdTrp1!K54=0,1,0)))</f>
        <v>2</v>
      </c>
      <c r="BF39" s="168">
        <f>IF(CdTrp1!L54=1,3,IF(CdTrp1!L54=0.5,2,IF(CdTrp1!L54=0,1,0)))</f>
        <v>2</v>
      </c>
      <c r="BG39" s="168">
        <f>IF(CdTrp1!M54=1,3,IF(CdTrp1!M54=0.5,2,IF(CdTrp1!M54=0,1,0)))</f>
        <v>1</v>
      </c>
      <c r="BH39" s="168">
        <f>IF(CdTrp1!N54=1,3,IF(CdTrp1!N54=0.5,2,IF(CdTrp1!N54=0,1,0)))</f>
        <v>1</v>
      </c>
      <c r="BI39" s="168">
        <f>IF(CdTrp1!O54=1,3,IF(CdTrp1!O54=0.5,2,IF(CdTrp1!O54=0,1,0)))</f>
        <v>1</v>
      </c>
      <c r="BJ39" s="168">
        <f>IF(CdTrp1!P54=1,3,IF(CdTrp1!P54=0.5,2,IF(CdTrp1!P54=0,1,0)))</f>
        <v>1</v>
      </c>
      <c r="BK39" s="168">
        <f>IF(CdTrp1!Q54=1,3,IF(CdTrp1!Q54=0.5,2,IF(CdTrp1!Q54=0,1,0)))</f>
        <v>2</v>
      </c>
      <c r="BL39" s="168">
        <f>IF(CdTrp1!R54=1,3,IF(CdTrp1!R54=0.5,2,IF(CdTrp1!R54=0,1,0)))</f>
        <v>2</v>
      </c>
      <c r="BM39" s="168">
        <f>IF(CdTrp1!S54=1,3,IF(CdTrp1!S54=0.5,2,IF(CdTrp1!S54=0,1,0)))</f>
        <v>2</v>
      </c>
      <c r="BN39" s="168">
        <f>IF(CdTrp1!T54=1,3,IF(CdTrp1!T54=0.5,2,IF(CdTrp1!T54=0,1,0)))</f>
        <v>2</v>
      </c>
      <c r="BO39" s="168">
        <f>IF(CdTrp1!U54=1,3,IF(CdTrp1!U54=0.5,2,IF(CdTrp1!U54=0,1,0)))</f>
        <v>2</v>
      </c>
      <c r="BP39" s="168">
        <f>IF(CdTrp1!V54=1,3,IF(CdTrp1!V54=0.5,2,IF(CdTrp1!V54=0,1,0)))</f>
        <v>2</v>
      </c>
      <c r="BQ39" s="168">
        <f>IF(CdTrp1!W54=1,3,IF(CdTrp1!W54=0.5,2,IF(CdTrp1!W54=0,1,0)))</f>
        <v>2</v>
      </c>
      <c r="BR39" s="168">
        <f>IF(CdTrp1!X54=1,3,IF(CdTrp1!X54=0.5,2,IF(CdTrp1!X54=0,1,0)))</f>
        <v>2</v>
      </c>
      <c r="BS39" s="168">
        <f>IF(CdTrp1!Y54=1,3,IF(CdTrp1!Y54=0.5,2,IF(CdTrp1!Y54=0,1,0)))</f>
        <v>3</v>
      </c>
      <c r="BU39">
        <v>1</v>
      </c>
      <c r="BV39" t="s">
        <v>808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779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2</v>
      </c>
      <c r="BB40" s="168">
        <f>IF(CdTrp1!H55=1,3,IF(CdTrp1!H55=0.5,2,IF(CdTrp1!H55=0,1,0)))</f>
        <v>2</v>
      </c>
      <c r="BC40" s="168">
        <f>IF(CdTrp1!I55=1,3,IF(CdTrp1!I55=0.5,2,IF(CdTrp1!I55=0,1,0)))</f>
        <v>2</v>
      </c>
      <c r="BD40" s="168">
        <f>IF(CdTrp1!J55=1,3,IF(CdTrp1!J55=0.5,2,IF(CdTrp1!J55=0,1,0)))</f>
        <v>2</v>
      </c>
      <c r="BE40" s="168">
        <f>IF(CdTrp1!K55=1,3,IF(CdTrp1!K55=0.5,2,IF(CdTrp1!K55=0,1,0)))</f>
        <v>2</v>
      </c>
      <c r="BF40" s="168">
        <f>IF(CdTrp1!L55=1,3,IF(CdTrp1!L55=0.5,2,IF(CdTrp1!L55=0,1,0)))</f>
        <v>0</v>
      </c>
      <c r="BG40" s="168">
        <f>IF(CdTrp1!M55=1,3,IF(CdTrp1!M55=0.5,2,IF(CdTrp1!M55=0,1,0)))</f>
        <v>0</v>
      </c>
      <c r="BH40" s="168">
        <f>IF(CdTrp1!N55=1,3,IF(CdTrp1!N55=0.5,2,IF(CdTrp1!N55=0,1,0)))</f>
        <v>0</v>
      </c>
      <c r="BI40" s="168">
        <f>IF(CdTrp1!O55=1,3,IF(CdTrp1!O55=0.5,2,IF(CdTrp1!O55=0,1,0)))</f>
        <v>0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3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779</v>
      </c>
      <c r="AT41" s="258" t="str">
        <f>CdTrp1!$A56</f>
        <v>lot5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89" t="s">
        <v>809</v>
      </c>
      <c r="B42" s="2"/>
      <c r="F42" s="33"/>
      <c r="AR42" s="181" t="s">
        <v>779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90" t="s">
        <v>570</v>
      </c>
      <c r="AR43" s="181" t="s">
        <v>779</v>
      </c>
      <c r="AT43" s="258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90" t="s">
        <v>584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779</v>
      </c>
      <c r="AT44" s="258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90" t="s">
        <v>591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779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779</v>
      </c>
      <c r="AT46" s="258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779</v>
      </c>
      <c r="AT47" s="2" t="s">
        <v>810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810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810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811</v>
      </c>
      <c r="AR48" s="181" t="s">
        <v>779</v>
      </c>
      <c r="AT48" s="182" t="str">
        <f>AT37</f>
        <v>Brebis  lot princ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0</v>
      </c>
      <c r="BH48" s="168">
        <f>IF(CdTrp1!N76=1,1,IF(CdTrp1!N76=2,2,IF(CdTrp1!N76=3,2,0)))</f>
        <v>0</v>
      </c>
      <c r="BI48" s="168">
        <f>IF(CdTrp1!O76=1,1,IF(CdTrp1!O76=2,2,IF(CdTrp1!O76=3,2,0)))</f>
        <v>0</v>
      </c>
      <c r="BJ48" s="168">
        <f>IF(CdTrp1!P76=1,1,IF(CdTrp1!P76=2,2,IF(CdTrp1!P76=3,2,0)))</f>
        <v>0</v>
      </c>
      <c r="BK48" s="168">
        <f>IF(CdTrp1!Q76=1,1,IF(CdTrp1!Q76=2,2,IF(CdTrp1!Q76=3,2,0)))</f>
        <v>0</v>
      </c>
      <c r="BL48" s="168">
        <f>IF(CdTrp1!R76=1,1,IF(CdTrp1!R76=2,2,IF(CdTrp1!R76=3,2,0)))</f>
        <v>0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216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812</v>
      </c>
      <c r="B49" s="166" t="s">
        <v>50</v>
      </c>
      <c r="C49" t="s">
        <v>813</v>
      </c>
      <c r="AR49" s="181" t="s">
        <v>779</v>
      </c>
      <c r="AT49" s="182" t="str">
        <f t="shared" ref="AT49:AT57" si="31">AT38</f>
        <v>Brebis tardives + antenaises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1</v>
      </c>
      <c r="AY49" s="168">
        <f>IF(CdTrp1!E77=1,1,IF(CdTrp1!E77=2,2,IF(CdTrp1!E77=3,2,0)))</f>
        <v>1</v>
      </c>
      <c r="AZ49" s="168">
        <f>IF(CdTrp1!F77=1,1,IF(CdTrp1!F77=2,2,IF(CdTrp1!F77=3,2,0)))</f>
        <v>1</v>
      </c>
      <c r="BA49" s="168">
        <f>IF(CdTrp1!G77=1,1,IF(CdTrp1!G77=2,2,IF(CdTrp1!G77=3,2,0)))</f>
        <v>1</v>
      </c>
      <c r="BB49" s="168">
        <f>IF(CdTrp1!H77=1,1,IF(CdTrp1!H77=2,2,IF(CdTrp1!H77=3,2,0)))</f>
        <v>1</v>
      </c>
      <c r="BC49" s="168">
        <f>IF(CdTrp1!I77=1,1,IF(CdTrp1!I77=2,2,IF(CdTrp1!I77=3,2,0)))</f>
        <v>1</v>
      </c>
      <c r="BD49" s="168">
        <f>IF(CdTrp1!J77=1,1,IF(CdTrp1!J77=2,2,IF(CdTrp1!J77=3,2,0)))</f>
        <v>1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814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815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779</v>
      </c>
      <c r="AT50" s="182" t="str">
        <f t="shared" si="31"/>
        <v>Brebis vides + agnelles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1</v>
      </c>
      <c r="AY50" s="168">
        <f>IF(CdTrp1!E78=1,1,IF(CdTrp1!E78=2,2,IF(CdTrp1!E78=3,2,0)))</f>
        <v>1</v>
      </c>
      <c r="AZ50" s="168">
        <f>IF(CdTrp1!F78=1,1,IF(CdTrp1!F78=2,2,IF(CdTrp1!F78=3,2,0)))</f>
        <v>1</v>
      </c>
      <c r="BA50" s="168">
        <f>IF(CdTrp1!G78=1,1,IF(CdTrp1!G78=2,2,IF(CdTrp1!G78=3,2,0)))</f>
        <v>1</v>
      </c>
      <c r="BB50" s="168">
        <f>IF(CdTrp1!H78=1,1,IF(CdTrp1!H78=2,2,IF(CdTrp1!H78=3,2,0)))</f>
        <v>1</v>
      </c>
      <c r="BC50" s="168">
        <f>IF(CdTrp1!I78=1,1,IF(CdTrp1!I78=2,2,IF(CdTrp1!I78=3,2,0)))</f>
        <v>1</v>
      </c>
      <c r="BD50" s="168">
        <f>IF(CdTrp1!J78=1,1,IF(CdTrp1!J78=2,2,IF(CdTrp1!J78=3,2,0)))</f>
        <v>1</v>
      </c>
      <c r="BE50" s="168">
        <f>IF(CdTrp1!K78=1,1,IF(CdTrp1!K78=2,2,IF(CdTrp1!K78=3,2,0)))</f>
        <v>1</v>
      </c>
      <c r="BF50" s="168">
        <f>IF(CdTrp1!L78=1,1,IF(CdTrp1!L78=2,2,IF(CdTrp1!L78=3,2,0)))</f>
        <v>1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1</v>
      </c>
      <c r="BL50" s="168">
        <f>IF(CdTrp1!R78=1,1,IF(CdTrp1!R78=2,2,IF(CdTrp1!R78=3,2,0)))</f>
        <v>1</v>
      </c>
      <c r="BM50" s="168">
        <f>IF(CdTrp1!S78=1,1,IF(CdTrp1!S78=2,2,IF(CdTrp1!S78=3,2,0)))</f>
        <v>1</v>
      </c>
      <c r="BN50" s="168">
        <f>IF(CdTrp1!T78=1,1,IF(CdTrp1!T78=2,2,IF(CdTrp1!T78=3,2,0)))</f>
        <v>1</v>
      </c>
      <c r="BO50" s="168">
        <f>IF(CdTrp1!U78=1,1,IF(CdTrp1!U78=2,2,IF(CdTrp1!U78=3,2,0)))</f>
        <v>1</v>
      </c>
      <c r="BP50" s="168">
        <f>IF(CdTrp1!V78=1,1,IF(CdTrp1!V78=2,2,IF(CdTrp1!V78=3,2,0)))</f>
        <v>1</v>
      </c>
      <c r="BQ50" s="168">
        <f>IF(CdTrp1!W78=1,1,IF(CdTrp1!W78=2,2,IF(CdTrp1!W78=3,2,0)))</f>
        <v>1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91">
        <v>4</v>
      </c>
      <c r="BV50" t="s">
        <v>816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817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779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1</v>
      </c>
      <c r="BB51" s="168">
        <f>IF(CdTrp1!H79=1,1,IF(CdTrp1!H79=2,2,IF(CdTrp1!H79=3,2,0)))</f>
        <v>1</v>
      </c>
      <c r="BC51" s="168">
        <f>IF(CdTrp1!I79=1,1,IF(CdTrp1!I79=2,2,IF(CdTrp1!I79=3,2,0)))</f>
        <v>1</v>
      </c>
      <c r="BD51" s="168">
        <f>IF(CdTrp1!J79=1,1,IF(CdTrp1!J79=2,2,IF(CdTrp1!J79=3,2,0)))</f>
        <v>1</v>
      </c>
      <c r="BE51" s="168">
        <f>IF(CdTrp1!K79=1,1,IF(CdTrp1!K79=2,2,IF(CdTrp1!K79=3,2,0)))</f>
        <v>1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818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819</v>
      </c>
      <c r="B52" s="168">
        <f>Scénario!K40/[1]Trav!$B$124</f>
        <v>0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779</v>
      </c>
      <c r="AT52" s="182" t="str">
        <f t="shared" si="31"/>
        <v>lot5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820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779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821</v>
      </c>
      <c r="B54" s="168">
        <f>SUM(Scénario!K40:K42)</f>
        <v>17</v>
      </c>
      <c r="C54" s="183">
        <f>IF(B54&gt;[1]Trav!E119,[1]Trav!C119,[1]Trav!B119)</f>
        <v>1.4</v>
      </c>
      <c r="D54"/>
      <c r="E54" s="167"/>
      <c r="F54" s="168">
        <f t="shared" si="32"/>
        <v>24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779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822</v>
      </c>
      <c r="B55" s="168">
        <f>Scénario!M28*(1-Scénario!K31/100)</f>
        <v>15.5</v>
      </c>
      <c r="C55" s="183">
        <f>IF(B55&gt;[1]Trav!E121,[1]Trav!C121,[1]Trav!B121)</f>
        <v>7.2</v>
      </c>
      <c r="D55"/>
      <c r="E55" s="167"/>
      <c r="F55" s="168">
        <f t="shared" si="32"/>
        <v>112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779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823</v>
      </c>
      <c r="B56" s="168">
        <f>Scénario!M29</f>
        <v>6.5</v>
      </c>
      <c r="C56" s="183">
        <f>IF(B56&gt;[1]Trav!E121,[1]Trav!C121,[1]Trav!B121)</f>
        <v>7.2</v>
      </c>
      <c r="D56"/>
      <c r="E56" s="167"/>
      <c r="F56" s="168">
        <f t="shared" si="32"/>
        <v>47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779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824</v>
      </c>
      <c r="B57" s="168">
        <f>Scénario!M30</f>
        <v>2.5</v>
      </c>
      <c r="C57" s="183">
        <f>IF(B57&gt;[1]Trav!E121,[1]Trav!C121,[1]Trav!B121)</f>
        <v>7.2</v>
      </c>
      <c r="D57"/>
      <c r="E57" s="167"/>
      <c r="F57" s="168">
        <f t="shared" si="32"/>
        <v>18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779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825</v>
      </c>
      <c r="B58" s="172">
        <f>Scénario!M28-Travail!B55</f>
        <v>0</v>
      </c>
      <c r="C58" s="183">
        <f>IF(B58&gt;[1]Trav!E122,[1]Trav!C122,[1]Trav!B122)</f>
        <v>4.4000000000000004</v>
      </c>
      <c r="E58" s="167"/>
      <c r="F58" s="168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779</v>
      </c>
      <c r="AT58" s="40" t="s">
        <v>826</v>
      </c>
      <c r="AU58" s="14"/>
      <c r="BZ58" s="40" t="s">
        <v>826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826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827</v>
      </c>
      <c r="B59" s="172">
        <f>Scénario!K32</f>
        <v>1.3</v>
      </c>
      <c r="C59" s="183">
        <f>[1]Trav!$B$123</f>
        <v>7.2</v>
      </c>
      <c r="E59" s="167"/>
      <c r="F59" s="168">
        <f t="shared" si="32"/>
        <v>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779</v>
      </c>
      <c r="AT59" s="14" t="s">
        <v>828</v>
      </c>
      <c r="AU59" s="30">
        <f>VALUE(CONCATENATE(Scénario!K8,Travail!AU2))</f>
        <v>21</v>
      </c>
      <c r="BZ59" s="14" t="s">
        <v>828</v>
      </c>
      <c r="CA59" s="30">
        <f>VALUE(CONCATENATE(Scénario!K8,Travail!CA2))</f>
        <v>22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828</v>
      </c>
      <c r="DD59" s="30">
        <f>VALUE(CONCATENATE(Scénario!K8,Travail!DD2))</f>
        <v>20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829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779</v>
      </c>
      <c r="AT60" s="182" t="str">
        <f>+AT48</f>
        <v>Brebis  lot princ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210</v>
      </c>
      <c r="BH60" s="168">
        <f>IF(BH15=0,0,IF(BH37=3,0,VALUE(CONCATENATE(Travail!BH26,Travail!BH37,Travail!BH48))))</f>
        <v>210</v>
      </c>
      <c r="BI60" s="168">
        <f>IF(BI15=0,0,IF(BI37=3,0,VALUE(CONCATENATE(Travail!BI26,Travail!BI37,Travail!BI48))))</f>
        <v>210</v>
      </c>
      <c r="BJ60" s="168">
        <f>IF(BJ15=0,0,IF(BJ37=3,0,VALUE(CONCATENATE(Travail!BJ26,Travail!BJ37,Travail!BJ48))))</f>
        <v>210</v>
      </c>
      <c r="BK60" s="168">
        <f>IF(BK15=0,0,IF(BK37=3,0,VALUE(CONCATENATE(Travail!BK26,Travail!BK37,Travail!BK48))))</f>
        <v>210</v>
      </c>
      <c r="BL60" s="168">
        <f>IF(BL15=0,0,IF(BL37=3,0,VALUE(CONCATENATE(Travail!BL26,Travail!BL37,Travail!BL48))))</f>
        <v>210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830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831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779</v>
      </c>
      <c r="AT61" s="182" t="str">
        <f>+AT49</f>
        <v>Brebis tardives + antenaises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121</v>
      </c>
      <c r="AY61" s="168">
        <f>IF(AY16=0,0,IF(AY38=3,0,VALUE(CONCATENATE(Travail!AY27,Travail!AY38,Travail!AY49))))</f>
        <v>121</v>
      </c>
      <c r="AZ61" s="168">
        <f>IF(AZ16=0,0,IF(AZ38=3,0,VALUE(CONCATENATE(Travail!AZ27,Travail!AZ38,Travail!AZ49))))</f>
        <v>121</v>
      </c>
      <c r="BA61" s="168">
        <f>IF(BA16=0,0,IF(BA38=3,0,VALUE(CONCATENATE(Travail!BA27,Travail!BA38,Travail!BA49))))</f>
        <v>121</v>
      </c>
      <c r="BB61" s="168">
        <f>IF(BB16=0,0,IF(BB38=3,0,VALUE(CONCATENATE(Travail!BB27,Travail!BB38,Travail!BB49))))</f>
        <v>121</v>
      </c>
      <c r="BC61" s="168">
        <f>IF(BC16=0,0,IF(BC38=3,0,VALUE(CONCATENATE(Travail!BC27,Travail!BC38,Travail!BC49))))</f>
        <v>121</v>
      </c>
      <c r="BD61" s="168">
        <f>IF(BD16=0,0,IF(BD38=3,0,VALUE(CONCATENATE(Travail!BD27,Travail!BD38,Travail!BD49))))</f>
        <v>121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832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779</v>
      </c>
      <c r="AS62" s="17"/>
      <c r="AT62" s="182" t="str">
        <f>+AT50</f>
        <v>Brebis vides + agnelles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221</v>
      </c>
      <c r="AY62" s="168">
        <f>IF(AY17=0,0,IF(AY39=3,0,VALUE(CONCATENATE(Travail!AY28,Travail!AY39,Travail!AY50))))</f>
        <v>221</v>
      </c>
      <c r="AZ62" s="168">
        <f>IF(AZ17=0,0,IF(AZ39=3,0,VALUE(CONCATENATE(Travail!AZ28,Travail!AZ39,Travail!AZ50))))</f>
        <v>221</v>
      </c>
      <c r="BA62" s="168">
        <f>IF(BA17=0,0,IF(BA39=3,0,VALUE(CONCATENATE(Travail!BA28,Travail!BA39,Travail!BA50))))</f>
        <v>221</v>
      </c>
      <c r="BB62" s="168">
        <f>IF(BB17=0,0,IF(BB39=3,0,VALUE(CONCATENATE(Travail!BB28,Travail!BB39,Travail!BB50))))</f>
        <v>221</v>
      </c>
      <c r="BC62" s="168">
        <f>IF(BC17=0,0,IF(BC39=3,0,VALUE(CONCATENATE(Travail!BC28,Travail!BC39,Travail!BC50))))</f>
        <v>221</v>
      </c>
      <c r="BD62" s="168">
        <f>IF(BD17=0,0,IF(BD39=3,0,VALUE(CONCATENATE(Travail!BD28,Travail!BD39,Travail!BD50))))</f>
        <v>221</v>
      </c>
      <c r="BE62" s="168">
        <f>IF(BE17=0,0,IF(BE39=3,0,VALUE(CONCATENATE(Travail!BE28,Travail!BE39,Travail!BE50))))</f>
        <v>221</v>
      </c>
      <c r="BF62" s="168">
        <f>IF(BF17=0,0,IF(BF39=3,0,VALUE(CONCATENATE(Travail!BF28,Travail!BF39,Travail!BF50))))</f>
        <v>221</v>
      </c>
      <c r="BG62" s="168">
        <f>IF(BG17=0,0,IF(BG39=3,0,VALUE(CONCATENATE(Travail!BG28,Travail!BG39,Travail!BG50))))</f>
        <v>210</v>
      </c>
      <c r="BH62" s="168">
        <f>IF(BH17=0,0,IF(BH39=3,0,VALUE(CONCATENATE(Travail!BH28,Travail!BH39,Travail!BH50))))</f>
        <v>210</v>
      </c>
      <c r="BI62" s="168">
        <f>IF(BI17=0,0,IF(BI39=3,0,VALUE(CONCATENATE(Travail!BI28,Travail!BI39,Travail!BI50))))</f>
        <v>210</v>
      </c>
      <c r="BJ62" s="168">
        <f>IF(BJ17=0,0,IF(BJ39=3,0,VALUE(CONCATENATE(Travail!BJ28,Travail!BJ39,Travail!BJ50))))</f>
        <v>210</v>
      </c>
      <c r="BK62" s="168">
        <f>IF(BK17=0,0,IF(BK39=3,0,VALUE(CONCATENATE(Travail!BK28,Travail!BK39,Travail!BK50))))</f>
        <v>221</v>
      </c>
      <c r="BL62" s="168">
        <f>IF(BL17=0,0,IF(BL39=3,0,VALUE(CONCATENATE(Travail!BL28,Travail!BL39,Travail!BL50))))</f>
        <v>221</v>
      </c>
      <c r="BM62" s="168">
        <f>IF(BM17=0,0,IF(BM39=3,0,VALUE(CONCATENATE(Travail!BM28,Travail!BM39,Travail!BM50))))</f>
        <v>221</v>
      </c>
      <c r="BN62" s="168">
        <f>IF(BN17=0,0,IF(BN39=3,0,VALUE(CONCATENATE(Travail!BN28,Travail!BN39,Travail!BN50))))</f>
        <v>221</v>
      </c>
      <c r="BO62" s="168">
        <f>IF(BO17=0,0,IF(BO39=3,0,VALUE(CONCATENATE(Travail!BO28,Travail!BO39,Travail!BO50))))</f>
        <v>221</v>
      </c>
      <c r="BP62" s="168">
        <f>IF(BP17=0,0,IF(BP39=3,0,VALUE(CONCATENATE(Travail!BP28,Travail!BP39,Travail!BP50))))</f>
        <v>221</v>
      </c>
      <c r="BQ62" s="168">
        <f>IF(BQ17=0,0,IF(BQ39=3,0,VALUE(CONCATENATE(Travail!BQ28,Travail!BQ39,Travail!BQ50))))</f>
        <v>221</v>
      </c>
      <c r="BR62" s="168">
        <f>IF(BR17=0,0,IF(BR39=3,0,VALUE(CONCATENATE(Travail!BR28,Travail!BR39,Travail!BR50))))</f>
        <v>220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833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779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121</v>
      </c>
      <c r="BB63" s="168">
        <f>IF(BB18=0,0,IF(BB40=3,0,VALUE(CONCATENATE(Travail!BB29,Travail!BB40,Travail!BB51))))</f>
        <v>121</v>
      </c>
      <c r="BC63" s="168">
        <f>IF(BC18=0,0,IF(BC40=3,0,VALUE(CONCATENATE(Travail!BC29,Travail!BC40,Travail!BC51))))</f>
        <v>121</v>
      </c>
      <c r="BD63" s="168">
        <f>IF(BD18=0,0,IF(BD40=3,0,VALUE(CONCATENATE(Travail!BD29,Travail!BD40,Travail!BD51))))</f>
        <v>121</v>
      </c>
      <c r="BE63" s="168">
        <f>IF(BE18=0,0,IF(BE40=3,0,VALUE(CONCATENATE(Travail!BE29,Travail!BE40,Travail!BE51))))</f>
        <v>121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834</v>
      </c>
      <c r="B64" s="23"/>
      <c r="C64" s="23"/>
      <c r="D64" s="23"/>
      <c r="E64" s="23"/>
      <c r="F64" s="16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 t="str">
        <f t="shared" si="35"/>
        <v>lot5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779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779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836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779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837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779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838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779</v>
      </c>
      <c r="AT70" s="40" t="s">
        <v>839</v>
      </c>
      <c r="BZ70" s="40" t="s">
        <v>839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839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840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779</v>
      </c>
      <c r="AT71" s="182" t="str">
        <f>AT60</f>
        <v>Brebis  lot princ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21</v>
      </c>
      <c r="BH71" s="168">
        <f t="shared" si="36"/>
        <v>21</v>
      </c>
      <c r="BI71" s="168">
        <f t="shared" si="36"/>
        <v>21</v>
      </c>
      <c r="BJ71" s="168">
        <f t="shared" si="36"/>
        <v>21</v>
      </c>
      <c r="BK71" s="168">
        <f t="shared" si="36"/>
        <v>21</v>
      </c>
      <c r="BL71" s="168">
        <f t="shared" si="36"/>
        <v>21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841</v>
      </c>
      <c r="B72" s="5"/>
      <c r="C72" s="5"/>
      <c r="F72" s="168">
        <f t="shared" ref="F72:F73" si="39">ROUND(SUM(G72:AD72),0)</f>
        <v>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779</v>
      </c>
      <c r="AT72" s="182" t="str">
        <f t="shared" ref="AT72:AT80" si="40">AT61</f>
        <v>Brebis tardives + antenaises</v>
      </c>
      <c r="AV72" s="168">
        <f t="shared" si="36"/>
        <v>13</v>
      </c>
      <c r="AW72" s="168">
        <f t="shared" si="36"/>
        <v>13</v>
      </c>
      <c r="AX72" s="168">
        <f t="shared" si="36"/>
        <v>12</v>
      </c>
      <c r="AY72" s="168">
        <f t="shared" si="36"/>
        <v>12</v>
      </c>
      <c r="AZ72" s="168">
        <f t="shared" si="36"/>
        <v>12</v>
      </c>
      <c r="BA72" s="168">
        <f t="shared" si="36"/>
        <v>12</v>
      </c>
      <c r="BB72" s="168">
        <f t="shared" si="36"/>
        <v>12</v>
      </c>
      <c r="BC72" s="168">
        <f t="shared" si="36"/>
        <v>12</v>
      </c>
      <c r="BD72" s="168">
        <f t="shared" si="36"/>
        <v>12</v>
      </c>
      <c r="BE72" s="168">
        <f t="shared" si="36"/>
        <v>0</v>
      </c>
      <c r="BF72" s="168">
        <f t="shared" si="36"/>
        <v>0</v>
      </c>
      <c r="BG72" s="168">
        <f t="shared" si="36"/>
        <v>0</v>
      </c>
      <c r="BH72" s="168">
        <f t="shared" si="36"/>
        <v>0</v>
      </c>
      <c r="BI72" s="168">
        <f t="shared" si="36"/>
        <v>0</v>
      </c>
      <c r="BJ72" s="168">
        <f t="shared" si="36"/>
        <v>0</v>
      </c>
      <c r="BK72" s="168">
        <f t="shared" si="36"/>
        <v>0</v>
      </c>
      <c r="BL72" s="168">
        <f t="shared" si="36"/>
        <v>0</v>
      </c>
      <c r="BM72" s="168">
        <f t="shared" si="36"/>
        <v>0</v>
      </c>
      <c r="BN72" s="168">
        <f t="shared" si="36"/>
        <v>0</v>
      </c>
      <c r="BO72" s="168">
        <f t="shared" si="36"/>
        <v>0</v>
      </c>
      <c r="BP72" s="168">
        <f t="shared" si="36"/>
        <v>13</v>
      </c>
      <c r="BQ72" s="168">
        <f t="shared" si="36"/>
        <v>13</v>
      </c>
      <c r="BR72" s="168">
        <f t="shared" si="36"/>
        <v>13</v>
      </c>
      <c r="BS72" s="168">
        <f t="shared" si="36"/>
        <v>13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842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779</v>
      </c>
      <c r="AT73" s="182" t="str">
        <f t="shared" si="40"/>
        <v>Brebis vides + agnelles</v>
      </c>
      <c r="AV73" s="168">
        <f t="shared" si="36"/>
        <v>23</v>
      </c>
      <c r="AW73" s="168">
        <f t="shared" si="36"/>
        <v>23</v>
      </c>
      <c r="AX73" s="168">
        <f t="shared" si="36"/>
        <v>22</v>
      </c>
      <c r="AY73" s="168">
        <f t="shared" si="36"/>
        <v>22</v>
      </c>
      <c r="AZ73" s="168">
        <f t="shared" si="36"/>
        <v>22</v>
      </c>
      <c r="BA73" s="168">
        <f t="shared" si="36"/>
        <v>22</v>
      </c>
      <c r="BB73" s="168">
        <f t="shared" si="36"/>
        <v>22</v>
      </c>
      <c r="BC73" s="168">
        <f t="shared" si="36"/>
        <v>22</v>
      </c>
      <c r="BD73" s="168">
        <f t="shared" si="36"/>
        <v>22</v>
      </c>
      <c r="BE73" s="168">
        <f t="shared" si="36"/>
        <v>22</v>
      </c>
      <c r="BF73" s="168">
        <f t="shared" si="36"/>
        <v>22</v>
      </c>
      <c r="BG73" s="168">
        <f t="shared" si="36"/>
        <v>21</v>
      </c>
      <c r="BH73" s="168">
        <f t="shared" si="36"/>
        <v>21</v>
      </c>
      <c r="BI73" s="168">
        <f t="shared" si="36"/>
        <v>21</v>
      </c>
      <c r="BJ73" s="168">
        <f t="shared" si="36"/>
        <v>21</v>
      </c>
      <c r="BK73" s="168">
        <f t="shared" si="36"/>
        <v>22</v>
      </c>
      <c r="BL73" s="168">
        <f t="shared" si="36"/>
        <v>22</v>
      </c>
      <c r="BM73" s="168">
        <f t="shared" si="36"/>
        <v>22</v>
      </c>
      <c r="BN73" s="168">
        <f t="shared" si="36"/>
        <v>22</v>
      </c>
      <c r="BO73" s="168">
        <f t="shared" si="36"/>
        <v>22</v>
      </c>
      <c r="BP73" s="168">
        <f t="shared" si="36"/>
        <v>22</v>
      </c>
      <c r="BQ73" s="168">
        <f t="shared" si="36"/>
        <v>22</v>
      </c>
      <c r="BR73" s="168">
        <f t="shared" si="36"/>
        <v>22</v>
      </c>
      <c r="BS73" s="168">
        <f t="shared" si="36"/>
        <v>23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843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779</v>
      </c>
      <c r="AT74" s="182" t="str">
        <f t="shared" si="40"/>
        <v>Béliers</v>
      </c>
      <c r="AV74" s="168">
        <f t="shared" si="36"/>
        <v>13</v>
      </c>
      <c r="AW74" s="168">
        <f t="shared" si="36"/>
        <v>13</v>
      </c>
      <c r="AX74" s="168">
        <f t="shared" si="36"/>
        <v>13</v>
      </c>
      <c r="AY74" s="168">
        <f t="shared" si="36"/>
        <v>13</v>
      </c>
      <c r="AZ74" s="168">
        <f t="shared" si="36"/>
        <v>13</v>
      </c>
      <c r="BA74" s="168">
        <f t="shared" si="36"/>
        <v>12</v>
      </c>
      <c r="BB74" s="168">
        <f t="shared" si="36"/>
        <v>12</v>
      </c>
      <c r="BC74" s="168">
        <f t="shared" si="36"/>
        <v>12</v>
      </c>
      <c r="BD74" s="168">
        <f t="shared" si="36"/>
        <v>12</v>
      </c>
      <c r="BE74" s="168">
        <f t="shared" si="36"/>
        <v>12</v>
      </c>
      <c r="BF74" s="168">
        <f t="shared" si="36"/>
        <v>0</v>
      </c>
      <c r="BG74" s="168">
        <f t="shared" si="36"/>
        <v>0</v>
      </c>
      <c r="BH74" s="168">
        <f t="shared" si="36"/>
        <v>0</v>
      </c>
      <c r="BI74" s="168">
        <f t="shared" si="36"/>
        <v>0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13</v>
      </c>
      <c r="BQ74" s="168">
        <f t="shared" si="36"/>
        <v>13</v>
      </c>
      <c r="BR74" s="168">
        <f t="shared" si="36"/>
        <v>13</v>
      </c>
      <c r="BS74" s="168">
        <f t="shared" si="36"/>
        <v>13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844</v>
      </c>
      <c r="F75" s="193">
        <f>IF(Protection!$AJ$8=0,0,SUM(G75:AD75))</f>
        <v>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 t="str">
        <f t="shared" si="40"/>
        <v>lot5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845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779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193">
        <f>IF(Protection!$AJ$8=0,0,SUM(G77:AD77))</f>
        <v>0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10.5</v>
      </c>
      <c r="W77" s="46">
        <f t="shared" si="43"/>
        <v>10.5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1" t="s">
        <v>779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4"/>
      <c r="AH78" s="5"/>
      <c r="AI78" s="5"/>
      <c r="AJ78" s="5"/>
      <c r="AK78" s="5"/>
      <c r="AL78" s="5"/>
      <c r="AM78" s="5"/>
      <c r="AN78" s="5"/>
      <c r="AR78" s="181" t="s">
        <v>779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846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1" t="s">
        <v>779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847</v>
      </c>
      <c r="B80" s="166" t="s">
        <v>848</v>
      </c>
      <c r="C80" s="166" t="s">
        <v>849</v>
      </c>
      <c r="D80" s="167"/>
      <c r="E80" s="167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1" t="s">
        <v>779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850</v>
      </c>
      <c r="B81" s="172">
        <f>ROUND(Protection!AJ8/[1]Protect!$B$11,2)</f>
        <v>0</v>
      </c>
      <c r="C81" s="183">
        <f>[1]Protect!$B$10</f>
        <v>4</v>
      </c>
      <c r="D81" s="167"/>
      <c r="E81" s="167"/>
      <c r="F81" s="168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779</v>
      </c>
      <c r="AT81" s="19" t="s">
        <v>851</v>
      </c>
      <c r="AV81" s="168">
        <f>COUNTIF(AV$71:AV$80,23)</f>
        <v>2</v>
      </c>
      <c r="AW81" s="168">
        <f t="shared" ref="AW81:BS81" si="44">COUNTIF(AW$71:AW$80,23)</f>
        <v>2</v>
      </c>
      <c r="AX81" s="168">
        <f t="shared" si="44"/>
        <v>1</v>
      </c>
      <c r="AY81" s="168">
        <f t="shared" si="44"/>
        <v>0</v>
      </c>
      <c r="AZ81" s="168">
        <f t="shared" si="44"/>
        <v>0</v>
      </c>
      <c r="BA81" s="168">
        <f t="shared" si="44"/>
        <v>0</v>
      </c>
      <c r="BB81" s="168">
        <f t="shared" si="44"/>
        <v>0</v>
      </c>
      <c r="BC81" s="168">
        <f t="shared" si="44"/>
        <v>0</v>
      </c>
      <c r="BD81" s="168">
        <f t="shared" si="44"/>
        <v>0</v>
      </c>
      <c r="BE81" s="168">
        <f t="shared" si="44"/>
        <v>0</v>
      </c>
      <c r="BF81" s="168">
        <f t="shared" si="44"/>
        <v>0</v>
      </c>
      <c r="BG81" s="168">
        <f t="shared" si="44"/>
        <v>0</v>
      </c>
      <c r="BH81" s="168">
        <f t="shared" si="44"/>
        <v>0</v>
      </c>
      <c r="BI81" s="168">
        <f t="shared" si="44"/>
        <v>0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0</v>
      </c>
      <c r="BQ81" s="168">
        <f t="shared" si="44"/>
        <v>0</v>
      </c>
      <c r="BR81" s="168">
        <f t="shared" si="44"/>
        <v>1</v>
      </c>
      <c r="BS81" s="168">
        <f t="shared" si="44"/>
        <v>2</v>
      </c>
      <c r="BZ81" s="19" t="s">
        <v>851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851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852</v>
      </c>
      <c r="C82" t="s">
        <v>853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779</v>
      </c>
      <c r="AT82" s="19" t="s">
        <v>854</v>
      </c>
      <c r="AV82" s="168">
        <f>COUNTIF(AV$71:AV$80,13)</f>
        <v>2</v>
      </c>
      <c r="AW82" s="168">
        <f t="shared" ref="AW82:BS82" si="47">COUNTIF(AW$71:AW$80,13)</f>
        <v>2</v>
      </c>
      <c r="AX82" s="168">
        <f t="shared" si="47"/>
        <v>1</v>
      </c>
      <c r="AY82" s="168">
        <f t="shared" si="47"/>
        <v>1</v>
      </c>
      <c r="AZ82" s="168">
        <f t="shared" si="47"/>
        <v>1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2</v>
      </c>
      <c r="BQ82" s="168">
        <f t="shared" si="47"/>
        <v>2</v>
      </c>
      <c r="BR82" s="168">
        <f t="shared" si="47"/>
        <v>2</v>
      </c>
      <c r="BS82" s="168">
        <f t="shared" si="47"/>
        <v>2</v>
      </c>
      <c r="BZ82" s="19" t="s">
        <v>854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854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855</v>
      </c>
      <c r="B83" s="172">
        <f>Protection!AK25/1000</f>
        <v>0</v>
      </c>
      <c r="C83" s="183">
        <f>[1]Protect!$B$24+[1]Protect!$B$26</f>
        <v>0.33</v>
      </c>
      <c r="D83" s="167"/>
      <c r="E83" s="167"/>
      <c r="F83" s="168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779</v>
      </c>
      <c r="AT83" s="19" t="s">
        <v>856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1</v>
      </c>
      <c r="AY83" s="168">
        <f t="shared" si="50"/>
        <v>2</v>
      </c>
      <c r="AZ83" s="168">
        <f t="shared" si="50"/>
        <v>2</v>
      </c>
      <c r="BA83" s="168">
        <f t="shared" si="50"/>
        <v>2</v>
      </c>
      <c r="BB83" s="168">
        <f t="shared" si="50"/>
        <v>2</v>
      </c>
      <c r="BC83" s="168">
        <f t="shared" si="50"/>
        <v>2</v>
      </c>
      <c r="BD83" s="168">
        <f t="shared" si="50"/>
        <v>2</v>
      </c>
      <c r="BE83" s="168">
        <f t="shared" si="50"/>
        <v>2</v>
      </c>
      <c r="BF83" s="168">
        <f t="shared" si="50"/>
        <v>2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1</v>
      </c>
      <c r="BL83" s="168">
        <f t="shared" si="50"/>
        <v>1</v>
      </c>
      <c r="BM83" s="168">
        <f t="shared" si="50"/>
        <v>2</v>
      </c>
      <c r="BN83" s="168">
        <f t="shared" si="50"/>
        <v>2</v>
      </c>
      <c r="BO83" s="168">
        <f t="shared" si="50"/>
        <v>2</v>
      </c>
      <c r="BP83" s="168">
        <f t="shared" si="50"/>
        <v>2</v>
      </c>
      <c r="BQ83" s="168">
        <f t="shared" si="50"/>
        <v>2</v>
      </c>
      <c r="BR83" s="168">
        <f t="shared" si="50"/>
        <v>1</v>
      </c>
      <c r="BS83" s="168">
        <f t="shared" si="50"/>
        <v>0</v>
      </c>
      <c r="BZ83" s="19" t="s">
        <v>856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856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857</v>
      </c>
      <c r="B84" s="5"/>
      <c r="C84" s="183">
        <f>[1]Protect!$B$25*8</f>
        <v>8</v>
      </c>
      <c r="D84" s="167"/>
      <c r="E84" s="167"/>
      <c r="F84" s="168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779</v>
      </c>
      <c r="AT84" s="19" t="s">
        <v>858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1</v>
      </c>
      <c r="AY84" s="168">
        <f t="shared" si="53"/>
        <v>1</v>
      </c>
      <c r="AZ84" s="168">
        <f t="shared" si="53"/>
        <v>1</v>
      </c>
      <c r="BA84" s="168">
        <f t="shared" si="53"/>
        <v>2</v>
      </c>
      <c r="BB84" s="168">
        <f t="shared" si="53"/>
        <v>2</v>
      </c>
      <c r="BC84" s="168">
        <f t="shared" si="53"/>
        <v>2</v>
      </c>
      <c r="BD84" s="168">
        <f t="shared" si="53"/>
        <v>2</v>
      </c>
      <c r="BE84" s="168">
        <f t="shared" si="53"/>
        <v>1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858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858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859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779</v>
      </c>
      <c r="AT85" s="40" t="s">
        <v>860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13</v>
      </c>
      <c r="AZ85" s="62">
        <f t="shared" si="56"/>
        <v>13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13</v>
      </c>
      <c r="BQ85" s="62">
        <f t="shared" si="56"/>
        <v>13</v>
      </c>
      <c r="BR85" s="62">
        <f t="shared" si="56"/>
        <v>23</v>
      </c>
      <c r="BS85" s="62">
        <f t="shared" si="56"/>
        <v>23</v>
      </c>
      <c r="BZ85" s="40" t="s">
        <v>860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861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779</v>
      </c>
      <c r="AT86" s="40" t="s">
        <v>862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21</v>
      </c>
      <c r="BB86" s="183">
        <f>IF(BB85=0,0,HLOOKUP(BB85,[1]Trav!$C$39:$G$59,$AU$105))</f>
        <v>21</v>
      </c>
      <c r="BC86" s="183">
        <f>IF(BC85=0,0,HLOOKUP(BC85,[1]Trav!$C$39:$G$59,$AU$105))</f>
        <v>21</v>
      </c>
      <c r="BD86" s="183">
        <f>IF(BD85=0,0,HLOOKUP(BD85,[1]Trav!$C$39:$G$59,$AU$105))</f>
        <v>21</v>
      </c>
      <c r="BE86" s="183">
        <f>IF(BE85=0,0,HLOOKUP(BE85,[1]Trav!$C$39:$G$59,$AU$105))</f>
        <v>21</v>
      </c>
      <c r="BF86" s="183">
        <f>IF(BF85=0,0,HLOOKUP(BF85,[1]Trav!$C$39:$G$59,$AU$105))</f>
        <v>21</v>
      </c>
      <c r="BG86" s="183">
        <f>IF(BG85=0,0,HLOOKUP(BG85,[1]Trav!$C$39:$G$59,$AU$105))</f>
        <v>0</v>
      </c>
      <c r="BH86" s="183">
        <f>IF(BH85=0,0,HLOOKUP(BH85,[1]Trav!$C$39:$G$59,$AU$105))</f>
        <v>0</v>
      </c>
      <c r="BI86" s="183">
        <f>IF(BI85=0,0,HLOOKUP(BI85,[1]Trav!$C$39:$G$59,$AU$105))</f>
        <v>0</v>
      </c>
      <c r="BJ86" s="183">
        <f>IF(BJ85=0,0,HLOOKUP(BJ85,[1]Trav!$C$39:$G$59,$AU$105))</f>
        <v>0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862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862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863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779</v>
      </c>
      <c r="AT87" s="40" t="s">
        <v>864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0</v>
      </c>
      <c r="BH87" s="183">
        <f>IF(BH85=0,0,HLOOKUP(BH85,[1]Trav!$C$62:$G$82,$AU$105))</f>
        <v>0</v>
      </c>
      <c r="BI87" s="183">
        <f>IF(BI85=0,0,HLOOKUP(BI85,[1]Trav!$C$62:$G$82,$AU$105))</f>
        <v>0</v>
      </c>
      <c r="BJ87" s="183">
        <f>IF(BJ85=0,0,HLOOKUP(BJ85,[1]Trav!$C$62:$G$82,$AU$105))</f>
        <v>0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864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864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865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866</v>
      </c>
      <c r="B90" s="5" t="s">
        <v>867</v>
      </c>
      <c r="C90" s="5"/>
      <c r="D90" s="5" t="s">
        <v>868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Brebis  lot princ</v>
      </c>
      <c r="AV90" s="168">
        <f t="shared" ref="AV90:BS95" si="60">IF(AV37&gt;1,AV4,0)</f>
        <v>162.96028880866427</v>
      </c>
      <c r="AW90" s="168">
        <f t="shared" si="60"/>
        <v>168.24548736462094</v>
      </c>
      <c r="AX90" s="168">
        <f t="shared" si="60"/>
        <v>173.53068592057761</v>
      </c>
      <c r="AY90" s="168">
        <f t="shared" si="60"/>
        <v>166.48375451263539</v>
      </c>
      <c r="AZ90" s="168">
        <f t="shared" si="60"/>
        <v>171.76895306859205</v>
      </c>
      <c r="BA90" s="168">
        <f t="shared" si="60"/>
        <v>177.93501805054152</v>
      </c>
      <c r="BB90" s="168">
        <f t="shared" si="60"/>
        <v>184.10108303249098</v>
      </c>
      <c r="BC90" s="168">
        <f t="shared" si="60"/>
        <v>191.1480144404332</v>
      </c>
      <c r="BD90" s="168">
        <f t="shared" si="60"/>
        <v>198.19494584837545</v>
      </c>
      <c r="BE90" s="168">
        <f t="shared" si="60"/>
        <v>207.88447653429603</v>
      </c>
      <c r="BF90" s="168">
        <f t="shared" si="60"/>
        <v>213.1696750902527</v>
      </c>
      <c r="BG90" s="168">
        <f t="shared" si="60"/>
        <v>0</v>
      </c>
      <c r="BH90" s="168">
        <f t="shared" si="60"/>
        <v>0</v>
      </c>
      <c r="BI90" s="168">
        <f t="shared" si="60"/>
        <v>0</v>
      </c>
      <c r="BJ90" s="168">
        <f t="shared" si="60"/>
        <v>0</v>
      </c>
      <c r="BK90" s="168">
        <f t="shared" si="60"/>
        <v>0</v>
      </c>
      <c r="BL90" s="168">
        <f t="shared" si="60"/>
        <v>0</v>
      </c>
      <c r="BM90" s="168">
        <f t="shared" si="60"/>
        <v>201.71841155234657</v>
      </c>
      <c r="BN90" s="168">
        <f t="shared" si="60"/>
        <v>201.71841155234657</v>
      </c>
      <c r="BO90" s="168">
        <f t="shared" si="60"/>
        <v>201.71841155234657</v>
      </c>
      <c r="BP90" s="168">
        <f t="shared" si="60"/>
        <v>229.02527075812273</v>
      </c>
      <c r="BQ90" s="168">
        <f t="shared" si="60"/>
        <v>229.02527075812273</v>
      </c>
      <c r="BR90" s="168">
        <f t="shared" si="60"/>
        <v>162.96028880866427</v>
      </c>
      <c r="BS90" s="168">
        <f t="shared" si="60"/>
        <v>162.96028880866427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869</v>
      </c>
      <c r="B91" s="196">
        <f>F5+F9</f>
        <v>1323.5948736462094</v>
      </c>
      <c r="C91" s="5"/>
      <c r="D91" s="197">
        <f>B91/Troupeau!$B$17</f>
        <v>5.4245691542877434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Brebis tardives + antenaises</v>
      </c>
      <c r="AV91" s="168">
        <f t="shared" si="60"/>
        <v>68.707581227436819</v>
      </c>
      <c r="AW91" s="168">
        <f t="shared" si="60"/>
        <v>61.660649819494587</v>
      </c>
      <c r="AX91" s="168">
        <f t="shared" si="60"/>
        <v>54.613718411552348</v>
      </c>
      <c r="AY91" s="168">
        <f t="shared" si="60"/>
        <v>47.566787003610109</v>
      </c>
      <c r="AZ91" s="168">
        <f t="shared" si="60"/>
        <v>40.51985559566787</v>
      </c>
      <c r="BA91" s="168">
        <f t="shared" si="60"/>
        <v>33.472924187725631</v>
      </c>
      <c r="BB91" s="168">
        <f t="shared" si="60"/>
        <v>26.425992779783392</v>
      </c>
      <c r="BC91" s="168">
        <f t="shared" si="60"/>
        <v>18.498194945848375</v>
      </c>
      <c r="BD91" s="168">
        <f t="shared" si="60"/>
        <v>10.570397111913357</v>
      </c>
      <c r="BE91" s="168">
        <f t="shared" si="60"/>
        <v>0</v>
      </c>
      <c r="BF91" s="168">
        <f t="shared" si="60"/>
        <v>0</v>
      </c>
      <c r="BG91" s="168">
        <f t="shared" si="60"/>
        <v>0</v>
      </c>
      <c r="BH91" s="168">
        <f t="shared" si="60"/>
        <v>0</v>
      </c>
      <c r="BI91" s="168">
        <f t="shared" si="60"/>
        <v>0</v>
      </c>
      <c r="BJ91" s="168">
        <f t="shared" si="60"/>
        <v>0</v>
      </c>
      <c r="BK91" s="168">
        <f t="shared" si="60"/>
        <v>0</v>
      </c>
      <c r="BL91" s="168">
        <f t="shared" si="60"/>
        <v>0</v>
      </c>
      <c r="BM91" s="168">
        <f t="shared" si="60"/>
        <v>0</v>
      </c>
      <c r="BN91" s="168">
        <f t="shared" si="60"/>
        <v>0</v>
      </c>
      <c r="BO91" s="168">
        <f t="shared" si="60"/>
        <v>0</v>
      </c>
      <c r="BP91" s="168">
        <f t="shared" si="60"/>
        <v>2.6425992779783392</v>
      </c>
      <c r="BQ91" s="168">
        <f t="shared" si="60"/>
        <v>2.6425992779783392</v>
      </c>
      <c r="BR91" s="168">
        <f t="shared" si="60"/>
        <v>68.707581227436819</v>
      </c>
      <c r="BS91" s="168">
        <f t="shared" si="60"/>
        <v>68.707581227436819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870</v>
      </c>
      <c r="B92" s="196">
        <f>F6+F10</f>
        <v>0</v>
      </c>
      <c r="C92" s="5"/>
      <c r="D92" s="197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Brebis vides + agnelles</v>
      </c>
      <c r="AV92" s="168">
        <f t="shared" si="60"/>
        <v>59.898916967509024</v>
      </c>
      <c r="AW92" s="168">
        <f t="shared" si="60"/>
        <v>59.898916967509024</v>
      </c>
      <c r="AX92" s="168">
        <f t="shared" si="60"/>
        <v>59.898916967509024</v>
      </c>
      <c r="AY92" s="168">
        <f t="shared" si="60"/>
        <v>59.898916967509024</v>
      </c>
      <c r="AZ92" s="168">
        <f t="shared" si="60"/>
        <v>59.898916967509024</v>
      </c>
      <c r="BA92" s="168">
        <f t="shared" si="60"/>
        <v>59.898916967509024</v>
      </c>
      <c r="BB92" s="168">
        <f t="shared" si="60"/>
        <v>59.898916967509024</v>
      </c>
      <c r="BC92" s="168">
        <f t="shared" si="60"/>
        <v>59.898916967509024</v>
      </c>
      <c r="BD92" s="168">
        <f t="shared" si="60"/>
        <v>59.898916967509024</v>
      </c>
      <c r="BE92" s="168">
        <f t="shared" si="60"/>
        <v>59.898916967509024</v>
      </c>
      <c r="BF92" s="168">
        <f t="shared" si="60"/>
        <v>47.566787003610109</v>
      </c>
      <c r="BG92" s="168">
        <f t="shared" si="60"/>
        <v>0</v>
      </c>
      <c r="BH92" s="168">
        <f t="shared" si="60"/>
        <v>0</v>
      </c>
      <c r="BI92" s="168">
        <f t="shared" si="60"/>
        <v>0</v>
      </c>
      <c r="BJ92" s="168">
        <f t="shared" si="60"/>
        <v>0</v>
      </c>
      <c r="BK92" s="168">
        <f t="shared" si="60"/>
        <v>47.566787003610109</v>
      </c>
      <c r="BL92" s="168">
        <f t="shared" si="60"/>
        <v>47.566787003610109</v>
      </c>
      <c r="BM92" s="168">
        <f t="shared" si="60"/>
        <v>47.566787003610109</v>
      </c>
      <c r="BN92" s="168">
        <f t="shared" si="60"/>
        <v>47.566787003610109</v>
      </c>
      <c r="BO92" s="168">
        <f t="shared" si="60"/>
        <v>47.566787003610109</v>
      </c>
      <c r="BP92" s="168">
        <f t="shared" si="60"/>
        <v>12.332129963898916</v>
      </c>
      <c r="BQ92" s="168">
        <f t="shared" si="60"/>
        <v>12.332129963898916</v>
      </c>
      <c r="BR92" s="168">
        <f t="shared" si="60"/>
        <v>59.898916967509024</v>
      </c>
      <c r="BS92" s="168">
        <f t="shared" si="60"/>
        <v>59.898916967509024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871</v>
      </c>
      <c r="B93" s="196">
        <f>F7+F11</f>
        <v>0</v>
      </c>
      <c r="C93" s="23"/>
      <c r="D93" s="197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5.2851985559566783</v>
      </c>
      <c r="AW93" s="168">
        <f t="shared" si="60"/>
        <v>5.2851985559566783</v>
      </c>
      <c r="AX93" s="168">
        <f t="shared" si="60"/>
        <v>5.2851985559566783</v>
      </c>
      <c r="AY93" s="168">
        <f t="shared" si="60"/>
        <v>5.2851985559566783</v>
      </c>
      <c r="AZ93" s="168">
        <f t="shared" si="60"/>
        <v>5.2851985559566783</v>
      </c>
      <c r="BA93" s="168">
        <f t="shared" si="60"/>
        <v>5.2851985559566783</v>
      </c>
      <c r="BB93" s="168">
        <f t="shared" si="60"/>
        <v>5.2851985559566783</v>
      </c>
      <c r="BC93" s="168">
        <f t="shared" si="60"/>
        <v>5.2851985559566783</v>
      </c>
      <c r="BD93" s="168">
        <f t="shared" si="60"/>
        <v>5.2851985559566783</v>
      </c>
      <c r="BE93" s="168">
        <f t="shared" si="60"/>
        <v>5.2851985559566783</v>
      </c>
      <c r="BF93" s="168">
        <f t="shared" si="60"/>
        <v>0</v>
      </c>
      <c r="BG93" s="168">
        <f t="shared" si="60"/>
        <v>0</v>
      </c>
      <c r="BH93" s="168">
        <f t="shared" si="60"/>
        <v>0</v>
      </c>
      <c r="BI93" s="168">
        <f t="shared" si="60"/>
        <v>0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5.2851985559566783</v>
      </c>
      <c r="BQ93" s="168">
        <f t="shared" si="60"/>
        <v>5.2851985559566783</v>
      </c>
      <c r="BR93" s="168">
        <f t="shared" si="60"/>
        <v>5.2851985559566783</v>
      </c>
      <c r="BS93" s="168">
        <f t="shared" si="60"/>
        <v>5.2851985559566783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872</v>
      </c>
      <c r="B94" s="198">
        <f>SUM(B91:B93)</f>
        <v>1323.5948736462094</v>
      </c>
      <c r="C94" s="5"/>
      <c r="D94" s="192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 t="str">
        <f>AT30</f>
        <v>lot5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873</v>
      </c>
      <c r="B95" s="30">
        <f>F16+F20</f>
        <v>224</v>
      </c>
      <c r="C95" s="5"/>
      <c r="D95" s="197">
        <f>B95/Troupeau!$B$17</f>
        <v>0.91803278688524592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874</v>
      </c>
      <c r="B96" s="30">
        <f>F17+F21</f>
        <v>0</v>
      </c>
      <c r="C96" s="5"/>
      <c r="D96" s="197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875</v>
      </c>
      <c r="B97" s="30">
        <f>F18+F22</f>
        <v>0</v>
      </c>
      <c r="C97" s="5"/>
      <c r="D97" s="197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876</v>
      </c>
      <c r="B98" s="46">
        <f>SUM(B95:B97)</f>
        <v>224</v>
      </c>
      <c r="C98" s="5"/>
      <c r="D98" s="192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877</v>
      </c>
      <c r="B99" s="30">
        <f>F31+F35</f>
        <v>1188.81</v>
      </c>
      <c r="C99" s="5"/>
      <c r="D99" s="197">
        <f>B99/Troupeau!$B$17</f>
        <v>4.8721721311475408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296.8519855595668</v>
      </c>
      <c r="AW99" s="62">
        <f t="shared" ref="AW99:BS99" si="68">SUM(AW90:AW98)</f>
        <v>295.09025270758121</v>
      </c>
      <c r="AX99" s="62">
        <f t="shared" si="68"/>
        <v>293.32851985559569</v>
      </c>
      <c r="AY99" s="62">
        <f t="shared" si="68"/>
        <v>279.23465703971118</v>
      </c>
      <c r="AZ99" s="62">
        <f t="shared" si="68"/>
        <v>277.47292418772565</v>
      </c>
      <c r="BA99" s="62">
        <f t="shared" si="68"/>
        <v>276.59205776173286</v>
      </c>
      <c r="BB99" s="62">
        <f t="shared" si="68"/>
        <v>275.71119133574012</v>
      </c>
      <c r="BC99" s="62">
        <f t="shared" si="68"/>
        <v>274.83032490974728</v>
      </c>
      <c r="BD99" s="62">
        <f t="shared" si="68"/>
        <v>273.94945848375454</v>
      </c>
      <c r="BE99" s="62">
        <f t="shared" si="68"/>
        <v>273.06859205776175</v>
      </c>
      <c r="BF99" s="62">
        <f t="shared" si="68"/>
        <v>260.73646209386283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47.566787003610109</v>
      </c>
      <c r="BL99" s="62">
        <f t="shared" si="68"/>
        <v>47.566787003610109</v>
      </c>
      <c r="BM99" s="62">
        <f t="shared" si="68"/>
        <v>249.28519855595667</v>
      </c>
      <c r="BN99" s="62">
        <f t="shared" si="68"/>
        <v>249.28519855595667</v>
      </c>
      <c r="BO99" s="62">
        <f t="shared" si="68"/>
        <v>249.28519855595667</v>
      </c>
      <c r="BP99" s="62">
        <f t="shared" si="68"/>
        <v>249.28519855595667</v>
      </c>
      <c r="BQ99" s="62">
        <f t="shared" si="68"/>
        <v>249.28519855595667</v>
      </c>
      <c r="BR99" s="62">
        <f t="shared" si="68"/>
        <v>296.8519855595668</v>
      </c>
      <c r="BS99" s="62">
        <f t="shared" si="68"/>
        <v>296.8519855595668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878</v>
      </c>
      <c r="B100" s="30">
        <f>F32+F36</f>
        <v>0</v>
      </c>
      <c r="C100" s="5"/>
      <c r="D100" s="197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879</v>
      </c>
      <c r="AV100" s="168">
        <f>IF($AT$2="OL",AV99/50,AV99/10)</f>
        <v>5.9370397111913356</v>
      </c>
      <c r="AW100" s="168">
        <f t="shared" ref="AW100:BS100" si="71">IF($AT$2="OL",AW99/50,AW99/10)</f>
        <v>5.901805054151624</v>
      </c>
      <c r="AX100" s="168">
        <f t="shared" si="71"/>
        <v>5.8665703971119134</v>
      </c>
      <c r="AY100" s="168">
        <f t="shared" si="71"/>
        <v>5.584693140794224</v>
      </c>
      <c r="AZ100" s="168">
        <f t="shared" si="71"/>
        <v>5.5494584837545133</v>
      </c>
      <c r="BA100" s="168">
        <f t="shared" si="71"/>
        <v>5.5318411552346571</v>
      </c>
      <c r="BB100" s="168">
        <f t="shared" si="71"/>
        <v>5.5142238267148027</v>
      </c>
      <c r="BC100" s="168">
        <f t="shared" si="71"/>
        <v>5.4966064981949456</v>
      </c>
      <c r="BD100" s="168">
        <f t="shared" si="71"/>
        <v>5.4789891696750912</v>
      </c>
      <c r="BE100" s="168">
        <f t="shared" si="71"/>
        <v>5.461371841155235</v>
      </c>
      <c r="BF100" s="168">
        <f t="shared" si="71"/>
        <v>5.2147292418772562</v>
      </c>
      <c r="BG100" s="168">
        <f t="shared" si="71"/>
        <v>0</v>
      </c>
      <c r="BH100" s="168">
        <f t="shared" si="71"/>
        <v>0</v>
      </c>
      <c r="BI100" s="168">
        <f t="shared" si="71"/>
        <v>0</v>
      </c>
      <c r="BJ100" s="168">
        <f t="shared" si="71"/>
        <v>0</v>
      </c>
      <c r="BK100" s="168">
        <f t="shared" si="71"/>
        <v>0.95133574007220223</v>
      </c>
      <c r="BL100" s="168">
        <f t="shared" si="71"/>
        <v>0.95133574007220223</v>
      </c>
      <c r="BM100" s="168">
        <f t="shared" si="71"/>
        <v>4.9857039711191335</v>
      </c>
      <c r="BN100" s="168">
        <f t="shared" si="71"/>
        <v>4.9857039711191335</v>
      </c>
      <c r="BO100" s="168">
        <f t="shared" si="71"/>
        <v>4.9857039711191335</v>
      </c>
      <c r="BP100" s="168">
        <f t="shared" si="71"/>
        <v>4.9857039711191335</v>
      </c>
      <c r="BQ100" s="168">
        <f t="shared" si="71"/>
        <v>4.9857039711191335</v>
      </c>
      <c r="BR100" s="168">
        <f t="shared" si="71"/>
        <v>5.9370397111913356</v>
      </c>
      <c r="BS100" s="168">
        <f t="shared" si="71"/>
        <v>5.9370397111913356</v>
      </c>
      <c r="BZ100" s="32" t="s">
        <v>879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879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880</v>
      </c>
      <c r="B101" s="30">
        <f>F33+F37</f>
        <v>0</v>
      </c>
      <c r="C101" s="5"/>
      <c r="D101" s="197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881</v>
      </c>
      <c r="AV101" s="168">
        <f>IF(AV100&gt;1,AV100-1,0)</f>
        <v>4.9370397111913356</v>
      </c>
      <c r="AW101" s="168">
        <f t="shared" ref="AW101:BS101" si="74">IF(AW100&gt;1,AW100-1,0)</f>
        <v>4.901805054151624</v>
      </c>
      <c r="AX101" s="168">
        <f t="shared" si="74"/>
        <v>4.8665703971119134</v>
      </c>
      <c r="AY101" s="168">
        <f t="shared" si="74"/>
        <v>4.584693140794224</v>
      </c>
      <c r="AZ101" s="168">
        <f t="shared" si="74"/>
        <v>4.5494584837545133</v>
      </c>
      <c r="BA101" s="168">
        <f t="shared" si="74"/>
        <v>4.5318411552346571</v>
      </c>
      <c r="BB101" s="168">
        <f t="shared" si="74"/>
        <v>4.5142238267148027</v>
      </c>
      <c r="BC101" s="168">
        <f t="shared" si="74"/>
        <v>4.4966064981949456</v>
      </c>
      <c r="BD101" s="168">
        <f t="shared" si="74"/>
        <v>4.4789891696750912</v>
      </c>
      <c r="BE101" s="168">
        <f t="shared" si="74"/>
        <v>4.461371841155235</v>
      </c>
      <c r="BF101" s="168">
        <f t="shared" si="74"/>
        <v>4.2147292418772562</v>
      </c>
      <c r="BG101" s="168">
        <f t="shared" si="74"/>
        <v>0</v>
      </c>
      <c r="BH101" s="168">
        <f t="shared" si="74"/>
        <v>0</v>
      </c>
      <c r="BI101" s="168">
        <f t="shared" si="74"/>
        <v>0</v>
      </c>
      <c r="BJ101" s="168">
        <f t="shared" si="74"/>
        <v>0</v>
      </c>
      <c r="BK101" s="168">
        <f t="shared" si="74"/>
        <v>0</v>
      </c>
      <c r="BL101" s="168">
        <f t="shared" si="74"/>
        <v>0</v>
      </c>
      <c r="BM101" s="168">
        <f t="shared" si="74"/>
        <v>3.9857039711191335</v>
      </c>
      <c r="BN101" s="168">
        <f t="shared" si="74"/>
        <v>3.9857039711191335</v>
      </c>
      <c r="BO101" s="168">
        <f t="shared" si="74"/>
        <v>3.9857039711191335</v>
      </c>
      <c r="BP101" s="168">
        <f t="shared" si="74"/>
        <v>3.9857039711191335</v>
      </c>
      <c r="BQ101" s="168">
        <f t="shared" si="74"/>
        <v>3.9857039711191335</v>
      </c>
      <c r="BR101" s="168">
        <f t="shared" si="74"/>
        <v>4.9370397111913356</v>
      </c>
      <c r="BS101" s="168">
        <f t="shared" si="74"/>
        <v>4.9370397111913356</v>
      </c>
      <c r="BZ101" s="32" t="s">
        <v>881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881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882</v>
      </c>
      <c r="B102" s="46">
        <f>SUM(B99:B101)</f>
        <v>1188.81</v>
      </c>
      <c r="C102" s="5"/>
      <c r="D102" s="192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883</v>
      </c>
      <c r="AV102" s="62">
        <f>AV86+AV87*AV101</f>
        <v>50.639819494584842</v>
      </c>
      <c r="AW102" s="62">
        <f t="shared" ref="AW102:BS102" si="77">AW86+AW87*AW101</f>
        <v>50.578158844765341</v>
      </c>
      <c r="AX102" s="62">
        <f t="shared" si="77"/>
        <v>50.516498194945846</v>
      </c>
      <c r="AY102" s="62">
        <f t="shared" si="77"/>
        <v>50.023212996389894</v>
      </c>
      <c r="AZ102" s="62">
        <f t="shared" si="77"/>
        <v>49.9615523465704</v>
      </c>
      <c r="BA102" s="62">
        <f t="shared" si="77"/>
        <v>28.93072202166065</v>
      </c>
      <c r="BB102" s="62">
        <f t="shared" si="77"/>
        <v>28.899891696750906</v>
      </c>
      <c r="BC102" s="62">
        <f t="shared" si="77"/>
        <v>28.869061371841156</v>
      </c>
      <c r="BD102" s="62">
        <f t="shared" si="77"/>
        <v>28.838231046931408</v>
      </c>
      <c r="BE102" s="62">
        <f t="shared" si="77"/>
        <v>28.807400722021661</v>
      </c>
      <c r="BF102" s="62">
        <f t="shared" si="77"/>
        <v>28.375776173285196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21</v>
      </c>
      <c r="BL102" s="62">
        <f t="shared" si="77"/>
        <v>21</v>
      </c>
      <c r="BM102" s="62">
        <f t="shared" si="77"/>
        <v>27.974981949458485</v>
      </c>
      <c r="BN102" s="62">
        <f t="shared" si="77"/>
        <v>27.974981949458485</v>
      </c>
      <c r="BO102" s="62">
        <f t="shared" si="77"/>
        <v>27.974981949458485</v>
      </c>
      <c r="BP102" s="62">
        <f t="shared" si="77"/>
        <v>48.974981949458481</v>
      </c>
      <c r="BQ102" s="62">
        <f t="shared" si="77"/>
        <v>48.974981949458481</v>
      </c>
      <c r="BR102" s="62">
        <f t="shared" si="77"/>
        <v>50.639819494584842</v>
      </c>
      <c r="BS102" s="62">
        <f t="shared" si="77"/>
        <v>50.639819494584842</v>
      </c>
      <c r="BZ102" s="40" t="s">
        <v>883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884</v>
      </c>
      <c r="B103" s="30">
        <f>F39</f>
        <v>1157</v>
      </c>
      <c r="C103" s="5"/>
      <c r="D103" s="197">
        <f>B103/Troupeau!$B$17</f>
        <v>4.7418032786885247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885</v>
      </c>
      <c r="B104" s="30">
        <f>F40</f>
        <v>0</v>
      </c>
      <c r="C104" s="5"/>
      <c r="D104" s="197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887</v>
      </c>
      <c r="B105" s="30">
        <f>F41</f>
        <v>0</v>
      </c>
      <c r="C105" s="5"/>
      <c r="D105" s="197">
        <f>IF(B105=0,0,B105/Troupeau!$D$17)</f>
        <v>0</v>
      </c>
      <c r="F105" s="167"/>
      <c r="G105" s="5"/>
      <c r="H105" s="5"/>
      <c r="AT105" s="146" t="s">
        <v>888</v>
      </c>
      <c r="AU105" s="17">
        <f>VLOOKUP(AU59,[1]Trav!$B$12:$C$31,2)</f>
        <v>6</v>
      </c>
      <c r="BZ105" s="146" t="s">
        <v>888</v>
      </c>
      <c r="CA105" s="17">
        <f>VLOOKUP(CA59,[1]Trav!$B$12:$C$31,2)</f>
        <v>7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6" t="s">
        <v>888</v>
      </c>
      <c r="DD105" s="17">
        <f>VLOOKUP(DD59,[1]Trav!$B$12:$C$31,2)</f>
        <v>5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889</v>
      </c>
      <c r="B106" s="46">
        <f>SUM(B103:B105)</f>
        <v>1157</v>
      </c>
      <c r="C106" s="5"/>
      <c r="D106" s="192"/>
      <c r="F106" s="167"/>
      <c r="G106" s="5"/>
      <c r="H106" s="5"/>
      <c r="AT106" s="182" t="str">
        <f t="shared" ref="AT106:AT115" si="80">AT60</f>
        <v>Brebis  lot princ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0</v>
      </c>
      <c r="BH106" s="183">
        <f>IF(BH60&gt;0,HLOOKUP(BH60,[1]Trav!$C$11:$O$31,$AU$105),0)</f>
        <v>0</v>
      </c>
      <c r="BI106" s="183">
        <f>IF(BI60&gt;0,HLOOKUP(BI60,[1]Trav!$C$11:$O$31,$AU$105),0)</f>
        <v>0</v>
      </c>
      <c r="BJ106" s="183">
        <f>IF(BJ60&gt;0,HLOOKUP(BJ60,[1]Trav!$C$11:$O$31,$AU$105),0)</f>
        <v>0</v>
      </c>
      <c r="BK106" s="183">
        <f>IF(BK60&gt;0,HLOOKUP(BK60,[1]Trav!$C$11:$O$31,$AU$105),0)</f>
        <v>0</v>
      </c>
      <c r="BL106" s="183">
        <f>IF(BL60&gt;0,HLOOKUP(BL60,[1]Trav!$C$11:$O$31,$AU$105),0)</f>
        <v>0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890</v>
      </c>
      <c r="B107" s="46">
        <f>SUM(F61:F64)</f>
        <v>600</v>
      </c>
      <c r="D107" s="192"/>
      <c r="AT107" s="182" t="str">
        <f t="shared" si="80"/>
        <v>Brebis tardives + antenaises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14</v>
      </c>
      <c r="AY107" s="183">
        <f>IF(AY61&gt;0,HLOOKUP(AY61,[1]Trav!$C$11:$O$31,$AU$105),0)</f>
        <v>14</v>
      </c>
      <c r="AZ107" s="183">
        <f>IF(AZ61&gt;0,HLOOKUP(AZ61,[1]Trav!$C$11:$O$31,$AU$105),0)</f>
        <v>14</v>
      </c>
      <c r="BA107" s="183">
        <f>IF(BA61&gt;0,HLOOKUP(BA61,[1]Trav!$C$11:$O$31,$AU$105),0)</f>
        <v>14</v>
      </c>
      <c r="BB107" s="183">
        <f>IF(BB61&gt;0,HLOOKUP(BB61,[1]Trav!$C$11:$O$31,$AU$105),0)</f>
        <v>14</v>
      </c>
      <c r="BC107" s="183">
        <f>IF(BC61&gt;0,HLOOKUP(BC61,[1]Trav!$C$11:$O$31,$AU$105),0)</f>
        <v>14</v>
      </c>
      <c r="BD107" s="183">
        <f>IF(BD61&gt;0,HLOOKUP(BD61,[1]Trav!$C$11:$O$31,$AU$105),0)</f>
        <v>14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891</v>
      </c>
      <c r="B108" s="46">
        <f>SUM(F50:F59)</f>
        <v>210</v>
      </c>
      <c r="D108" s="192"/>
      <c r="AT108" s="182" t="str">
        <f t="shared" si="80"/>
        <v>Brebis vides + agnelles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14</v>
      </c>
      <c r="AY108" s="183">
        <f>IF(AY62&gt;0,HLOOKUP(AY62,[1]Trav!$C$11:$O$31,$AU$105),0)</f>
        <v>14</v>
      </c>
      <c r="AZ108" s="183">
        <f>IF(AZ62&gt;0,HLOOKUP(AZ62,[1]Trav!$C$11:$O$31,$AU$105),0)</f>
        <v>14</v>
      </c>
      <c r="BA108" s="183">
        <f>IF(BA62&gt;0,HLOOKUP(BA62,[1]Trav!$C$11:$O$31,$AU$105),0)</f>
        <v>14</v>
      </c>
      <c r="BB108" s="183">
        <f>IF(BB62&gt;0,HLOOKUP(BB62,[1]Trav!$C$11:$O$31,$AU$105),0)</f>
        <v>14</v>
      </c>
      <c r="BC108" s="183">
        <f>IF(BC62&gt;0,HLOOKUP(BC62,[1]Trav!$C$11:$O$31,$AU$105),0)</f>
        <v>14</v>
      </c>
      <c r="BD108" s="183">
        <f>IF(BD62&gt;0,HLOOKUP(BD62,[1]Trav!$C$11:$O$31,$AU$105),0)</f>
        <v>14</v>
      </c>
      <c r="BE108" s="183">
        <f>IF(BE62&gt;0,HLOOKUP(BE62,[1]Trav!$C$11:$O$31,$AU$105),0)</f>
        <v>14</v>
      </c>
      <c r="BF108" s="183">
        <f>IF(BF62&gt;0,HLOOKUP(BF62,[1]Trav!$C$11:$O$31,$AU$105),0)</f>
        <v>14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14</v>
      </c>
      <c r="BL108" s="183">
        <f>IF(BL62&gt;0,HLOOKUP(BL62,[1]Trav!$C$11:$O$31,$AU$105),0)</f>
        <v>14</v>
      </c>
      <c r="BM108" s="183">
        <f>IF(BM62&gt;0,HLOOKUP(BM62,[1]Trav!$C$11:$O$31,$AU$105),0)</f>
        <v>14</v>
      </c>
      <c r="BN108" s="183">
        <f>IF(BN62&gt;0,HLOOKUP(BN62,[1]Trav!$C$11:$O$31,$AU$105),0)</f>
        <v>14</v>
      </c>
      <c r="BO108" s="183">
        <f>IF(BO62&gt;0,HLOOKUP(BO62,[1]Trav!$C$11:$O$31,$AU$105),0)</f>
        <v>14</v>
      </c>
      <c r="BP108" s="183">
        <f>IF(BP62&gt;0,HLOOKUP(BP62,[1]Trav!$C$11:$O$31,$AU$105),0)</f>
        <v>14</v>
      </c>
      <c r="BQ108" s="183">
        <f>IF(BQ62&gt;0,HLOOKUP(BQ62,[1]Trav!$C$11:$O$31,$AU$105),0)</f>
        <v>14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892</v>
      </c>
      <c r="B109" s="30">
        <f>F69+F72</f>
        <v>0</v>
      </c>
      <c r="D109" s="192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14</v>
      </c>
      <c r="BB109" s="183">
        <f>IF(BB63&gt;0,HLOOKUP(BB63,[1]Trav!$C$11:$O$31,$AU$105),0)</f>
        <v>14</v>
      </c>
      <c r="BC109" s="183">
        <f>IF(BC63&gt;0,HLOOKUP(BC63,[1]Trav!$C$11:$O$31,$AU$105),0)</f>
        <v>14</v>
      </c>
      <c r="BD109" s="183">
        <f>IF(BD63&gt;0,HLOOKUP(BD63,[1]Trav!$C$11:$O$31,$AU$105),0)</f>
        <v>14</v>
      </c>
      <c r="BE109" s="183">
        <f>IF(BE63&gt;0,HLOOKUP(BE63,[1]Trav!$C$11:$O$31,$AU$105),0)</f>
        <v>14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893</v>
      </c>
      <c r="B110" s="30">
        <f>F70+F73</f>
        <v>0</v>
      </c>
      <c r="D110" s="192"/>
      <c r="AT110" s="182" t="str">
        <f t="shared" si="80"/>
        <v>lot5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894</v>
      </c>
      <c r="B111" s="30">
        <f>F71+F74</f>
        <v>0</v>
      </c>
      <c r="D111" s="192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895</v>
      </c>
      <c r="B112" s="46">
        <f>SUM(B109:B111)</f>
        <v>0</v>
      </c>
      <c r="D112" s="192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896</v>
      </c>
      <c r="B113" s="30">
        <f>F76</f>
        <v>0</v>
      </c>
      <c r="D113" s="192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897</v>
      </c>
      <c r="B114" s="30">
        <f>F81</f>
        <v>0</v>
      </c>
      <c r="D114" s="192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898</v>
      </c>
      <c r="B115" s="30">
        <f>F83+F84</f>
        <v>0</v>
      </c>
      <c r="D115" s="192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899</v>
      </c>
      <c r="B116" s="30">
        <f>F86</f>
        <v>0</v>
      </c>
      <c r="D116" s="192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2"/>
      <c r="AT117" s="40" t="s">
        <v>900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28</v>
      </c>
      <c r="AY117" s="168">
        <f t="shared" si="83"/>
        <v>42</v>
      </c>
      <c r="AZ117" s="168">
        <f t="shared" si="83"/>
        <v>42</v>
      </c>
      <c r="BA117" s="168">
        <f t="shared" si="83"/>
        <v>56</v>
      </c>
      <c r="BB117" s="168">
        <f t="shared" si="83"/>
        <v>56</v>
      </c>
      <c r="BC117" s="168">
        <f t="shared" si="83"/>
        <v>56</v>
      </c>
      <c r="BD117" s="168">
        <f t="shared" si="83"/>
        <v>56</v>
      </c>
      <c r="BE117" s="168">
        <f t="shared" si="83"/>
        <v>42</v>
      </c>
      <c r="BF117" s="168">
        <f t="shared" si="83"/>
        <v>28</v>
      </c>
      <c r="BG117" s="168">
        <f t="shared" si="83"/>
        <v>0</v>
      </c>
      <c r="BH117" s="168">
        <f t="shared" si="83"/>
        <v>0</v>
      </c>
      <c r="BI117" s="168">
        <f t="shared" si="83"/>
        <v>0</v>
      </c>
      <c r="BJ117" s="168">
        <f t="shared" si="83"/>
        <v>0</v>
      </c>
      <c r="BK117" s="168">
        <f t="shared" si="83"/>
        <v>14</v>
      </c>
      <c r="BL117" s="168">
        <f t="shared" si="83"/>
        <v>14</v>
      </c>
      <c r="BM117" s="168">
        <f t="shared" si="83"/>
        <v>28</v>
      </c>
      <c r="BN117" s="168">
        <f t="shared" si="83"/>
        <v>28</v>
      </c>
      <c r="BO117" s="168">
        <f t="shared" si="83"/>
        <v>28</v>
      </c>
      <c r="BP117" s="168">
        <f t="shared" si="83"/>
        <v>28</v>
      </c>
      <c r="BQ117" s="168">
        <f t="shared" si="83"/>
        <v>28</v>
      </c>
      <c r="BR117" s="168">
        <f t="shared" si="83"/>
        <v>0</v>
      </c>
      <c r="BS117" s="168">
        <f t="shared" si="83"/>
        <v>0</v>
      </c>
      <c r="CA117" s="40" t="s">
        <v>900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900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901</v>
      </c>
      <c r="B118" s="196">
        <f>B91+B95+B99+B103</f>
        <v>3893.4048736462091</v>
      </c>
      <c r="D118" s="197">
        <f>B118/Troupeau!$B$17</f>
        <v>15.956577351009054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902</v>
      </c>
      <c r="B119" s="196">
        <f t="shared" ref="B119" si="86">B92+B96+B100+B104</f>
        <v>0</v>
      </c>
      <c r="D119" s="197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903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904</v>
      </c>
      <c r="B122" s="196">
        <f>SUM(B118:B120)</f>
        <v>3893.4048736462091</v>
      </c>
    </row>
    <row r="123" spans="1:132" x14ac:dyDescent="0.25">
      <c r="A123" s="2" t="s">
        <v>891</v>
      </c>
      <c r="B123" s="30">
        <f>B108</f>
        <v>210</v>
      </c>
    </row>
    <row r="124" spans="1:132" x14ac:dyDescent="0.25">
      <c r="A124" s="2" t="s">
        <v>905</v>
      </c>
      <c r="B124" s="30">
        <f>B107</f>
        <v>600</v>
      </c>
    </row>
    <row r="125" spans="1:132" x14ac:dyDescent="0.25">
      <c r="A125" s="2" t="s">
        <v>906</v>
      </c>
      <c r="B125" s="30">
        <f>B112+B113</f>
        <v>0</v>
      </c>
    </row>
    <row r="126" spans="1:132" x14ac:dyDescent="0.25">
      <c r="A126" s="2" t="s">
        <v>907</v>
      </c>
      <c r="B126" s="30">
        <f>B114+B115+B116</f>
        <v>0</v>
      </c>
    </row>
    <row r="128" spans="1:132" x14ac:dyDescent="0.25">
      <c r="A128" s="2" t="s">
        <v>908</v>
      </c>
      <c r="B128" s="196">
        <f>SUM(B122:B126)</f>
        <v>4703.4048736462091</v>
      </c>
    </row>
    <row r="129" spans="1:2" x14ac:dyDescent="0.25">
      <c r="A129" s="2" t="s">
        <v>909</v>
      </c>
      <c r="B129" s="30">
        <f>IF(Scénario!K129=1,Travail!F77+Travail!F86,F86)</f>
        <v>0</v>
      </c>
    </row>
    <row r="130" spans="1:2" x14ac:dyDescent="0.25">
      <c r="A130" s="2" t="s">
        <v>910</v>
      </c>
      <c r="B130" s="196">
        <f>ROUND((B128-B129)/(Scénario!K4+Scénario!K6),0)</f>
        <v>2352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F158" sqref="F15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911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912</v>
      </c>
      <c r="R2" s="23" t="s">
        <v>913</v>
      </c>
      <c r="S2" s="23"/>
      <c r="T2" t="s">
        <v>914</v>
      </c>
    </row>
    <row r="3" spans="1:59" ht="18.75" x14ac:dyDescent="0.3">
      <c r="A3" s="202"/>
      <c r="B3" s="33" t="s">
        <v>915</v>
      </c>
      <c r="C3" s="33" t="s">
        <v>916</v>
      </c>
      <c r="D3" s="33" t="s">
        <v>917</v>
      </c>
      <c r="E3" s="166"/>
      <c r="F3" s="33" t="s">
        <v>918</v>
      </c>
      <c r="G3" s="33" t="s">
        <v>919</v>
      </c>
      <c r="H3" s="33" t="s">
        <v>920</v>
      </c>
      <c r="I3" s="167"/>
    </row>
    <row r="4" spans="1:59" x14ac:dyDescent="0.25">
      <c r="B4" s="166" t="str">
        <f>Troupeau!B3</f>
        <v>OL</v>
      </c>
      <c r="C4" s="166" t="str">
        <f>Troupeau!C3</f>
        <v>BV</v>
      </c>
      <c r="D4" s="166">
        <f>Troupeau!D3</f>
        <v>0</v>
      </c>
      <c r="E4" s="166"/>
      <c r="F4" s="166" t="str">
        <f>+B4</f>
        <v>OL</v>
      </c>
      <c r="G4" s="166" t="str">
        <f t="shared" ref="G4:H4" si="0">+C4</f>
        <v>BV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 t="str">
        <f>Troupeau!C3</f>
        <v>BV</v>
      </c>
      <c r="M4" s="166">
        <f>Troupeau!D3</f>
        <v>0</v>
      </c>
      <c r="O4" s="204"/>
      <c r="R4" s="5"/>
      <c r="S4" s="5"/>
      <c r="T4" s="14" t="s">
        <v>921</v>
      </c>
      <c r="U4" s="14"/>
      <c r="V4" s="14"/>
      <c r="W4" s="14"/>
      <c r="AB4" s="2" t="s">
        <v>922</v>
      </c>
    </row>
    <row r="5" spans="1:59" x14ac:dyDescent="0.25">
      <c r="A5" t="s">
        <v>923</v>
      </c>
      <c r="B5" s="168">
        <f>T6-(T5/100*T6)</f>
        <v>0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0</v>
      </c>
      <c r="K5" s="168">
        <f>ROUND(B5*F5/1000,0)</f>
        <v>0</v>
      </c>
      <c r="L5" s="168">
        <f t="shared" ref="L5:M6" si="1">ROUND(C5*G5/1000,0)</f>
        <v>0</v>
      </c>
      <c r="M5" s="168">
        <f t="shared" si="1"/>
        <v>0</v>
      </c>
      <c r="O5" s="205"/>
      <c r="R5" s="206"/>
      <c r="S5" s="206" t="s">
        <v>924</v>
      </c>
      <c r="T5" s="30">
        <f>Scénario!K16</f>
        <v>100</v>
      </c>
      <c r="U5" s="14"/>
      <c r="V5" s="14"/>
      <c r="X5" s="14" t="s">
        <v>925</v>
      </c>
      <c r="Y5" s="30">
        <f>IF(Scénario!K17=1,[1]Eco!$B$51,[1]Eco!$B$52)</f>
        <v>1064</v>
      </c>
      <c r="AB5" t="s">
        <v>926</v>
      </c>
      <c r="AC5" t="s">
        <v>17</v>
      </c>
      <c r="AD5" t="s">
        <v>277</v>
      </c>
      <c r="AF5" s="166" t="s">
        <v>927</v>
      </c>
      <c r="AG5" s="166" t="s">
        <v>928</v>
      </c>
      <c r="AH5" s="166" t="s">
        <v>929</v>
      </c>
      <c r="AI5" s="166" t="s">
        <v>930</v>
      </c>
      <c r="AJ5" s="166" t="s">
        <v>931</v>
      </c>
    </row>
    <row r="6" spans="1:59" x14ac:dyDescent="0.25">
      <c r="A6" t="s">
        <v>932</v>
      </c>
      <c r="B6" s="168">
        <f>T6-B5</f>
        <v>30441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62739</v>
      </c>
      <c r="K6" s="168">
        <f>ROUND(B6*F6/1000,0)</f>
        <v>62739</v>
      </c>
      <c r="L6" s="168">
        <f t="shared" si="1"/>
        <v>0</v>
      </c>
      <c r="M6" s="168">
        <f t="shared" si="1"/>
        <v>0</v>
      </c>
      <c r="O6" s="205"/>
      <c r="P6" s="5"/>
      <c r="R6" s="206"/>
      <c r="S6" s="206" t="s">
        <v>933</v>
      </c>
      <c r="T6" s="30">
        <f>Troupeau!B35</f>
        <v>30441</v>
      </c>
      <c r="U6" s="14"/>
      <c r="V6" s="14"/>
      <c r="X6" s="14" t="s">
        <v>934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5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935</v>
      </c>
      <c r="B9" s="168">
        <f>Troupeau!B43</f>
        <v>142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5531</v>
      </c>
      <c r="K9" s="168">
        <f>ROUND(B9*F9,0)</f>
        <v>5531</v>
      </c>
      <c r="L9" s="168">
        <f t="shared" ref="L9:M16" si="5">ROUND(C9*G9,0)</f>
        <v>0</v>
      </c>
      <c r="M9" s="168">
        <f t="shared" si="5"/>
        <v>0</v>
      </c>
      <c r="O9" s="207">
        <v>8</v>
      </c>
      <c r="P9" s="5"/>
      <c r="S9" s="37" t="s">
        <v>936</v>
      </c>
      <c r="T9" s="36" t="s">
        <v>921</v>
      </c>
      <c r="U9" s="166" t="s">
        <v>937</v>
      </c>
      <c r="V9" s="36" t="s">
        <v>938</v>
      </c>
      <c r="W9" s="166" t="s">
        <v>939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940</v>
      </c>
      <c r="B10" s="168">
        <f>Troupeau!B39</f>
        <v>94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3661</v>
      </c>
      <c r="K10" s="168">
        <f t="shared" ref="K10:K16" si="7">ROUND(B10*F10,0)</f>
        <v>3661</v>
      </c>
      <c r="L10" s="168">
        <f t="shared" si="5"/>
        <v>0</v>
      </c>
      <c r="M10" s="168">
        <f t="shared" si="5"/>
        <v>0</v>
      </c>
      <c r="O10" s="207">
        <v>13</v>
      </c>
      <c r="P10" s="5"/>
      <c r="Q10" s="5"/>
      <c r="R10" s="5"/>
      <c r="S10" s="32" t="s">
        <v>941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942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7">
        <v>18</v>
      </c>
      <c r="P11" s="5"/>
      <c r="Q11" s="5"/>
      <c r="R11" s="32"/>
      <c r="S11" s="32" t="s">
        <v>943</v>
      </c>
      <c r="T11" s="168">
        <f>Troupeau!B37</f>
        <v>36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944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7">
        <v>23</v>
      </c>
      <c r="S12" s="32" t="s">
        <v>945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946</v>
      </c>
      <c r="B13" s="168">
        <f>T11-B14</f>
        <v>36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954</v>
      </c>
      <c r="K13" s="168">
        <f t="shared" si="7"/>
        <v>954</v>
      </c>
      <c r="L13" s="168">
        <f t="shared" si="5"/>
        <v>0</v>
      </c>
      <c r="M13" s="168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947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7">
        <v>33</v>
      </c>
      <c r="Q14" s="23" t="s">
        <v>922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948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7">
        <v>38</v>
      </c>
      <c r="R15" s="5" t="s">
        <v>949</v>
      </c>
      <c r="S15" s="32" t="s">
        <v>950</v>
      </c>
      <c r="T15" s="5" t="s">
        <v>951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952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350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1050</v>
      </c>
      <c r="K16" s="168">
        <f t="shared" si="7"/>
        <v>1050</v>
      </c>
      <c r="L16" s="168">
        <f t="shared" si="5"/>
        <v>0</v>
      </c>
      <c r="M16" s="168">
        <f t="shared" si="5"/>
        <v>0</v>
      </c>
      <c r="N16"/>
      <c r="O16" s="207">
        <v>43</v>
      </c>
      <c r="Q16" s="5" t="s">
        <v>927</v>
      </c>
      <c r="R16" s="30">
        <f>'Alim -Surf'!K13</f>
        <v>-17.400000000000002</v>
      </c>
      <c r="S16" s="5">
        <f>IF(R16&gt;0,R16,0)</f>
        <v>0</v>
      </c>
      <c r="T16" s="5">
        <f>IF(R16&lt;0,-R16,0)</f>
        <v>17.400000000000002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953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8" t="s">
        <v>277</v>
      </c>
      <c r="AD17" s="168" t="s">
        <v>949</v>
      </c>
      <c r="AE17" s="168" t="s">
        <v>954</v>
      </c>
      <c r="AF17" s="168" t="s">
        <v>955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956</v>
      </c>
      <c r="B18" s="166"/>
      <c r="C18" s="36" t="s">
        <v>957</v>
      </c>
      <c r="D18" s="33" t="s">
        <v>958</v>
      </c>
      <c r="E18" s="167"/>
      <c r="F18" s="36" t="s">
        <v>959</v>
      </c>
      <c r="G18" s="36" t="s">
        <v>960</v>
      </c>
      <c r="H18" s="167"/>
      <c r="I18" s="167"/>
      <c r="J18" s="5"/>
      <c r="K18" s="5"/>
      <c r="L18" s="5"/>
      <c r="M18" s="5"/>
      <c r="N18" s="5"/>
      <c r="P18" s="5"/>
      <c r="Q18" s="5" t="s">
        <v>961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927</v>
      </c>
      <c r="AC18" s="168">
        <f>SUM(AF6:AF15)</f>
        <v>0</v>
      </c>
      <c r="AD18" s="168">
        <f>'Alim -Surf'!K13</f>
        <v>-17.400000000000002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927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962</v>
      </c>
      <c r="AC19" s="168">
        <f>SUM(AG6:AI15)</f>
        <v>0</v>
      </c>
      <c r="AD19" s="168">
        <f>'Alim -Surf'!K14</f>
        <v>0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962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931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5"/>
      <c r="P22"/>
      <c r="U22"/>
      <c r="V22"/>
      <c r="W22"/>
      <c r="X22"/>
      <c r="Y22"/>
      <c r="Z22" t="s">
        <v>964</v>
      </c>
      <c r="AA22"/>
      <c r="AB22"/>
      <c r="AC22"/>
      <c r="AD22"/>
      <c r="AE22" t="s">
        <v>965</v>
      </c>
      <c r="AF22"/>
      <c r="AG22"/>
      <c r="AH22"/>
      <c r="AI22" t="s">
        <v>966</v>
      </c>
      <c r="AJ22"/>
      <c r="AK22"/>
      <c r="AM22"/>
      <c r="AN22" t="s">
        <v>967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5"/>
      <c r="Q23" s="18"/>
      <c r="R23" s="5"/>
      <c r="S23" s="5"/>
      <c r="T23" s="5"/>
      <c r="Z23" s="5" t="s">
        <v>968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5"/>
      <c r="Q24" s="18"/>
      <c r="R24" s="2" t="s">
        <v>969</v>
      </c>
      <c r="S24" s="18"/>
      <c r="T24" s="5" t="s">
        <v>970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5"/>
      <c r="P26" s="5"/>
      <c r="R26" t="s">
        <v>971</v>
      </c>
      <c r="X26" t="s">
        <v>972</v>
      </c>
      <c r="AA26" s="166" t="s">
        <v>973</v>
      </c>
      <c r="AB26" s="166" t="s">
        <v>974</v>
      </c>
      <c r="AC26" s="166" t="s">
        <v>723</v>
      </c>
      <c r="AD26" s="5"/>
      <c r="AE26" s="166" t="s">
        <v>973</v>
      </c>
      <c r="AF26" s="166" t="s">
        <v>975</v>
      </c>
      <c r="AG26" s="166" t="s">
        <v>723</v>
      </c>
      <c r="AI26" s="166" t="s">
        <v>973</v>
      </c>
      <c r="AJ26" s="166" t="s">
        <v>976</v>
      </c>
      <c r="AK26" s="166" t="s">
        <v>723</v>
      </c>
      <c r="AL26" s="167"/>
      <c r="AN26" s="166" t="s">
        <v>973</v>
      </c>
      <c r="AO26" s="166" t="s">
        <v>977</v>
      </c>
      <c r="AP26" s="166" t="s">
        <v>723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5"/>
      <c r="P27" s="5"/>
      <c r="R27" s="166" t="s">
        <v>921</v>
      </c>
      <c r="S27" s="166" t="s">
        <v>937</v>
      </c>
      <c r="T27" s="166" t="s">
        <v>938</v>
      </c>
      <c r="U27" s="166" t="s">
        <v>939</v>
      </c>
      <c r="V27" s="166" t="s">
        <v>13</v>
      </c>
      <c r="X27" s="15" t="s">
        <v>978</v>
      </c>
      <c r="Z27" s="208" t="s">
        <v>979</v>
      </c>
      <c r="AA27" s="183">
        <f>[1]Eco!$F$4</f>
        <v>166</v>
      </c>
      <c r="AB27" s="209">
        <f>IF(X28&gt;50,50,X28)</f>
        <v>0</v>
      </c>
      <c r="AC27" s="168">
        <f>AA27*AB27</f>
        <v>0</v>
      </c>
      <c r="AD27" s="5" t="s">
        <v>980</v>
      </c>
      <c r="AE27" s="183">
        <f>[1]Eco!$F$9</f>
        <v>24.3</v>
      </c>
      <c r="AF27" s="209">
        <f>IF(X30&gt;500,500,X30)</f>
        <v>244</v>
      </c>
      <c r="AG27" s="209">
        <f>AE27*AF27</f>
        <v>5929.2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981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5"/>
      <c r="Q28" s="14" t="s">
        <v>455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455</v>
      </c>
      <c r="X28" s="168">
        <f>V28/$T$25</f>
        <v>0</v>
      </c>
      <c r="Z28" s="14" t="s">
        <v>982</v>
      </c>
      <c r="AA28" s="183">
        <f>[1]Eco!$F$5</f>
        <v>121</v>
      </c>
      <c r="AB28" s="209">
        <f>IF(X28&lt;51,0,IF(X28&gt;99,49,X28-50))</f>
        <v>0</v>
      </c>
      <c r="AC28" s="168">
        <f t="shared" ref="AC28:AC29" si="15">AA28*AB28</f>
        <v>0</v>
      </c>
      <c r="AD28" s="5" t="s">
        <v>983</v>
      </c>
      <c r="AE28" s="183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984</v>
      </c>
      <c r="AK28" s="62">
        <f>AK27*T25</f>
        <v>0</v>
      </c>
      <c r="AL28" s="36"/>
      <c r="AM28" s="14" t="s">
        <v>985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986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5"/>
      <c r="Q29" s="14" t="s">
        <v>503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503</v>
      </c>
      <c r="X29" s="168">
        <f>V29/$T$25</f>
        <v>0</v>
      </c>
      <c r="Z29" s="14" t="s">
        <v>987</v>
      </c>
      <c r="AA29" s="183">
        <f>[1]Eco!$F$6</f>
        <v>62</v>
      </c>
      <c r="AB29" s="209">
        <f>IF(X28&gt;139,40,IF(X28&gt;99,X28-99,0))</f>
        <v>0</v>
      </c>
      <c r="AC29" s="168">
        <f t="shared" si="15"/>
        <v>0</v>
      </c>
      <c r="AF29" s="40" t="s">
        <v>984</v>
      </c>
      <c r="AG29" s="62">
        <f>SUM(AG27:AG28)*T25</f>
        <v>5929.2</v>
      </c>
      <c r="AO29" s="40" t="s">
        <v>984</v>
      </c>
      <c r="AP29" s="62">
        <f>IF(Scénario!K10=1,'Calcul éco'!AP27,'Calcul éco'!AP28)*T25</f>
        <v>0</v>
      </c>
    </row>
    <row r="30" spans="1:143" x14ac:dyDescent="0.25">
      <c r="A30" s="15" t="s">
        <v>988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5"/>
      <c r="Q30" s="14" t="s">
        <v>454</v>
      </c>
      <c r="R30" s="168">
        <f>IF(Troupeau!B$3="OL",Troupeau!B$17,0)</f>
        <v>244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244</v>
      </c>
      <c r="W30" s="14" t="s">
        <v>989</v>
      </c>
      <c r="X30" s="168">
        <f>(V30+V31)/$T$25</f>
        <v>244</v>
      </c>
      <c r="AB30" s="40" t="s">
        <v>984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990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76"/>
      <c r="AF31" s="276"/>
      <c r="AG31" s="277" t="s">
        <v>1440</v>
      </c>
      <c r="AH31" s="277"/>
      <c r="AI31" s="277"/>
      <c r="AJ31" s="277" t="s">
        <v>1441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991</v>
      </c>
      <c r="Q32" s="14" t="s">
        <v>992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992</v>
      </c>
      <c r="X32" s="168">
        <f>V32/T25</f>
        <v>0</v>
      </c>
      <c r="AE32" s="276"/>
      <c r="AF32" s="276"/>
      <c r="AG32" s="276" t="s">
        <v>1442</v>
      </c>
      <c r="AH32" s="276" t="s">
        <v>1443</v>
      </c>
      <c r="AI32" s="276" t="s">
        <v>168</v>
      </c>
      <c r="AJ32" s="276" t="s">
        <v>1444</v>
      </c>
    </row>
    <row r="33" spans="1:143" x14ac:dyDescent="0.25">
      <c r="A33" s="2" t="s">
        <v>993</v>
      </c>
      <c r="Q33" s="166"/>
      <c r="R33" s="166"/>
      <c r="S33" s="166"/>
      <c r="T33" s="166"/>
      <c r="U33" s="166"/>
      <c r="X33" s="167"/>
      <c r="AE33" s="276"/>
      <c r="AF33" s="276" t="s">
        <v>455</v>
      </c>
      <c r="AG33" s="276">
        <f>V28</f>
        <v>0</v>
      </c>
      <c r="AH33" s="276">
        <f>ROUND(AG33*0.24,0)</f>
        <v>0</v>
      </c>
      <c r="AI33" s="276">
        <f>AG33+AH33*1.5*0.6</f>
        <v>0</v>
      </c>
      <c r="AJ33" s="276"/>
    </row>
    <row r="34" spans="1:143" x14ac:dyDescent="0.25">
      <c r="A34" t="s">
        <v>994</v>
      </c>
      <c r="J34" s="168">
        <f>AC30</f>
        <v>0</v>
      </c>
      <c r="K34" s="168"/>
      <c r="L34" s="168"/>
      <c r="M34" s="168"/>
      <c r="N34" s="168"/>
      <c r="O34" s="205"/>
      <c r="Q34" s="199" t="s">
        <v>995</v>
      </c>
      <c r="R34" s="168">
        <f>AB228</f>
        <v>0</v>
      </c>
      <c r="S34" s="166"/>
      <c r="T34" s="151"/>
      <c r="U34" s="166"/>
      <c r="X34" s="167"/>
      <c r="AB34" s="14"/>
      <c r="AE34" s="276"/>
      <c r="AF34" s="276" t="s">
        <v>503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996</v>
      </c>
      <c r="J35" s="168">
        <f>AP29</f>
        <v>0</v>
      </c>
      <c r="K35" s="168"/>
      <c r="L35" s="168"/>
      <c r="M35" s="168"/>
      <c r="N35" s="168"/>
      <c r="O35" s="205"/>
      <c r="X35" s="2" t="s">
        <v>997</v>
      </c>
      <c r="Y35" s="14" t="s">
        <v>998</v>
      </c>
      <c r="Z35" s="62" t="str">
        <f>Scénario!K9</f>
        <v>M1</v>
      </c>
      <c r="AE35" s="276"/>
      <c r="AF35" s="276" t="s">
        <v>454</v>
      </c>
      <c r="AG35" s="276">
        <f t="shared" si="18"/>
        <v>244</v>
      </c>
      <c r="AH35" s="276"/>
      <c r="AI35" s="276">
        <f>AG35*0.15</f>
        <v>36.6</v>
      </c>
      <c r="AJ35" s="276"/>
    </row>
    <row r="36" spans="1:143" x14ac:dyDescent="0.25">
      <c r="A36" t="s">
        <v>999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1000</v>
      </c>
      <c r="Z36" s="62" t="str">
        <f>IF(Y53&gt;50,CONCATENATE(Z35,"O"),Z35)</f>
        <v>M1O</v>
      </c>
      <c r="AA36" s="5"/>
      <c r="AB36" s="14" t="s">
        <v>1001</v>
      </c>
      <c r="AC36" s="183">
        <f>VLOOKUP(Z36,[1]Eco!$A$36:$B$45,2)</f>
        <v>258</v>
      </c>
      <c r="AD36" s="5"/>
      <c r="AE36" s="276"/>
      <c r="AF36" s="278" t="s">
        <v>1040</v>
      </c>
      <c r="AG36" s="276"/>
      <c r="AH36" s="276"/>
      <c r="AI36" s="276">
        <f>SUM(AI33:AI35)</f>
        <v>36.6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1002</v>
      </c>
      <c r="J37" s="168">
        <f>AG29</f>
        <v>5929.2</v>
      </c>
      <c r="K37" s="168"/>
      <c r="L37" s="168"/>
      <c r="M37" s="168"/>
      <c r="N37" s="168"/>
      <c r="O37" s="205"/>
      <c r="S37" s="40" t="s">
        <v>1003</v>
      </c>
      <c r="T37" t="s">
        <v>1004</v>
      </c>
      <c r="U37" t="s">
        <v>1005</v>
      </c>
      <c r="V37" t="s">
        <v>1006</v>
      </c>
      <c r="X37" s="167"/>
      <c r="AB37" s="166" t="s">
        <v>1007</v>
      </c>
      <c r="AC37" s="166" t="s">
        <v>973</v>
      </c>
      <c r="AD37" s="166" t="s">
        <v>723</v>
      </c>
      <c r="AE37" s="279" t="s">
        <v>1445</v>
      </c>
      <c r="AF37" s="276"/>
      <c r="AG37" s="276"/>
      <c r="AH37" s="276"/>
      <c r="AI37" s="276"/>
      <c r="AJ37" s="277" t="s">
        <v>1446</v>
      </c>
    </row>
    <row r="38" spans="1:143" x14ac:dyDescent="0.25">
      <c r="A38" t="s">
        <v>1008</v>
      </c>
      <c r="J38" s="168">
        <f>AK28</f>
        <v>0</v>
      </c>
      <c r="K38" s="168"/>
      <c r="L38" s="168"/>
      <c r="M38" s="168"/>
      <c r="N38" s="168"/>
      <c r="O38" s="205"/>
      <c r="S38" s="14" t="s">
        <v>1009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1010</v>
      </c>
      <c r="Z38" s="30">
        <f>V46</f>
        <v>69.385999999999996</v>
      </c>
      <c r="AA38" s="14" t="s">
        <v>1011</v>
      </c>
      <c r="AB38" s="168">
        <f>IF(Z39&gt;25, 25,Z39)</f>
        <v>25</v>
      </c>
      <c r="AC38" s="168">
        <f>AC40+AC36</f>
        <v>328</v>
      </c>
      <c r="AD38" s="168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1447</v>
      </c>
      <c r="AJ38" s="278">
        <f>VLOOKUP(Z35,[1]Eco!$I$37:$K$41,2)</f>
        <v>1.7</v>
      </c>
    </row>
    <row r="39" spans="1:143" x14ac:dyDescent="0.25">
      <c r="A39" t="s">
        <v>1012</v>
      </c>
      <c r="B39" s="30">
        <f>R34</f>
        <v>0</v>
      </c>
      <c r="C39" s="210">
        <f>[1]Eco!$B$17</f>
        <v>141</v>
      </c>
      <c r="J39" s="168">
        <f>B39*C39</f>
        <v>0</v>
      </c>
      <c r="K39" s="168"/>
      <c r="L39" s="168"/>
      <c r="M39" s="168"/>
      <c r="N39" s="168"/>
      <c r="O39" s="205"/>
      <c r="S39" s="14" t="s">
        <v>267</v>
      </c>
      <c r="T39" s="168">
        <f>'Alim -Surf'!O7</f>
        <v>14.5</v>
      </c>
      <c r="U39" s="168">
        <f>[1]Eco!$B$20/100</f>
        <v>1</v>
      </c>
      <c r="V39" s="168">
        <f t="shared" ref="V39:V41" si="20">T39*U39</f>
        <v>14.5</v>
      </c>
      <c r="Y39" s="14" t="s">
        <v>1013</v>
      </c>
      <c r="Z39" s="30">
        <f>Z38/T25</f>
        <v>69.385999999999996</v>
      </c>
      <c r="AA39" s="14" t="s">
        <v>1014</v>
      </c>
      <c r="AB39" s="168">
        <f>IF(Z39&gt;50,25,IF(Z39&gt;25,Z39-25,0))</f>
        <v>25</v>
      </c>
      <c r="AC39" s="168">
        <f>AC40+0.66*AC36</f>
        <v>240.28</v>
      </c>
      <c r="AD39" s="168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1448</v>
      </c>
      <c r="AJ39" s="278">
        <f>VLOOKUP(Z36,[1]Eco!$I$37:$K$41,3)</f>
        <v>2.5</v>
      </c>
    </row>
    <row r="40" spans="1:143" x14ac:dyDescent="0.25">
      <c r="A40" t="s">
        <v>560</v>
      </c>
      <c r="B40" s="30">
        <f>Scénario!K38</f>
        <v>0</v>
      </c>
      <c r="C40" s="210">
        <f>[1]Eco!$B$18</f>
        <v>35</v>
      </c>
      <c r="J40" s="168">
        <f>B40*C40</f>
        <v>0</v>
      </c>
      <c r="K40" s="168"/>
      <c r="L40" s="168"/>
      <c r="M40" s="168"/>
      <c r="N40" s="168"/>
      <c r="O40" s="205"/>
      <c r="S40" s="14" t="s">
        <v>268</v>
      </c>
      <c r="T40" s="168">
        <f>'Alim -Surf'!O29</f>
        <v>2.5</v>
      </c>
      <c r="U40" s="168">
        <f>[1]Eco!$B$21/100</f>
        <v>1</v>
      </c>
      <c r="V40" s="168">
        <f t="shared" si="20"/>
        <v>2.5</v>
      </c>
      <c r="AA40" s="14" t="s">
        <v>1015</v>
      </c>
      <c r="AB40" s="168">
        <f>IF(Z39&gt;75,25,IF(Z39&gt;50,Z39-50,0))</f>
        <v>19.385999999999996</v>
      </c>
      <c r="AC40" s="183">
        <f>[1]Eco!$B$34</f>
        <v>70</v>
      </c>
      <c r="AD40" s="168">
        <f t="shared" si="21"/>
        <v>1357.0199999999998</v>
      </c>
      <c r="AE40" s="278">
        <f>IF($AJ$40=0,AB40*$AC$40,AD40*$AJ$40/100)</f>
        <v>1357.0199999999998</v>
      </c>
      <c r="AF40" s="276"/>
      <c r="AG40" s="276"/>
      <c r="AH40" s="276"/>
      <c r="AI40" s="280" t="s">
        <v>1449</v>
      </c>
      <c r="AJ40" s="278">
        <f>IF(AJ36&lt;=AJ38,100,IF(AJ36&lt;=AJ39,90,0))</f>
        <v>100</v>
      </c>
    </row>
    <row r="41" spans="1:143" x14ac:dyDescent="0.25">
      <c r="A41" s="23" t="s">
        <v>1016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5"/>
      <c r="S41" s="14" t="s">
        <v>269</v>
      </c>
      <c r="T41" s="168">
        <f>'Alim -Surf'!O51</f>
        <v>1.3</v>
      </c>
      <c r="U41" s="168">
        <f>[1]Eco!$B$22/100</f>
        <v>0.6</v>
      </c>
      <c r="V41" s="168">
        <f t="shared" si="20"/>
        <v>0.78</v>
      </c>
      <c r="AC41" s="40" t="s">
        <v>984</v>
      </c>
      <c r="AD41" s="62">
        <f>SUM(AD38:AD40)*T25</f>
        <v>15564.02</v>
      </c>
      <c r="AE41" s="281">
        <f>ROUND(SUM(AE38:AE40)*T25,0)</f>
        <v>15564</v>
      </c>
      <c r="AF41" s="276"/>
      <c r="AG41" s="276"/>
      <c r="AH41" s="276"/>
      <c r="AI41" s="276"/>
      <c r="AJ41" s="276"/>
    </row>
    <row r="42" spans="1:143" x14ac:dyDescent="0.25">
      <c r="A42" t="s">
        <v>1017</v>
      </c>
      <c r="B42" s="30">
        <f>V46</f>
        <v>69.385999999999996</v>
      </c>
      <c r="C42" s="210">
        <f>[1]Eco!$B$24</f>
        <v>97</v>
      </c>
      <c r="J42" s="168">
        <f>B42*C42</f>
        <v>6730.442</v>
      </c>
      <c r="K42" s="168"/>
      <c r="L42" s="168"/>
      <c r="M42" s="168"/>
      <c r="N42" s="168"/>
      <c r="O42" s="205"/>
      <c r="R42" s="211"/>
      <c r="S42" s="206" t="s">
        <v>1018</v>
      </c>
      <c r="T42" s="168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1019</v>
      </c>
      <c r="AG42" s="212" t="s">
        <v>1020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1021</v>
      </c>
      <c r="B43" s="30">
        <f>IF(Z39&gt;52,52,Z39)*T25</f>
        <v>52</v>
      </c>
      <c r="C43" s="210">
        <f>[1]Eco!$B$31</f>
        <v>49</v>
      </c>
      <c r="D43" s="5"/>
      <c r="E43" s="5"/>
      <c r="F43" s="5"/>
      <c r="G43" s="5"/>
      <c r="H43" s="5"/>
      <c r="I43" s="5"/>
      <c r="J43" s="168">
        <f>B43*C43</f>
        <v>2548</v>
      </c>
      <c r="K43" s="168"/>
      <c r="L43" s="168"/>
      <c r="M43" s="168"/>
      <c r="N43" s="168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1022</v>
      </c>
      <c r="B44" s="30">
        <f>B42</f>
        <v>69.385999999999996</v>
      </c>
      <c r="C44" s="210">
        <f>[1]Eco!$B$29</f>
        <v>67</v>
      </c>
      <c r="D44" s="5"/>
      <c r="E44" s="5"/>
      <c r="F44" s="5"/>
      <c r="G44" s="5"/>
      <c r="H44" s="5"/>
      <c r="I44" s="5"/>
      <c r="J44" s="168">
        <f>B44*C44</f>
        <v>4648.8620000000001</v>
      </c>
      <c r="K44" s="168"/>
      <c r="L44" s="168"/>
      <c r="M44" s="168"/>
      <c r="N44" s="168"/>
      <c r="O44" s="205"/>
      <c r="U44" s="40" t="s">
        <v>1023</v>
      </c>
      <c r="V44" s="62">
        <f>SUM(V38:V41)-T42</f>
        <v>17.78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1024</v>
      </c>
      <c r="J45" s="168">
        <f>IF(Scénario!K9=0,0,AE41)</f>
        <v>15564</v>
      </c>
      <c r="K45" s="168"/>
      <c r="L45" s="168"/>
      <c r="M45" s="168"/>
      <c r="N45" s="168"/>
      <c r="O45" s="205"/>
      <c r="U45" s="14" t="s">
        <v>1025</v>
      </c>
      <c r="V45" s="168">
        <f>S55</f>
        <v>51.606000000000002</v>
      </c>
      <c r="X45" s="212" t="s">
        <v>1026</v>
      </c>
      <c r="Y45" s="212"/>
      <c r="Z45" s="212"/>
      <c r="AA45" s="212"/>
      <c r="AB45" s="212"/>
      <c r="AC45" s="212"/>
      <c r="AD45" s="212"/>
      <c r="AE45" s="212"/>
      <c r="AF45" s="214" t="s">
        <v>570</v>
      </c>
      <c r="AG45" s="212"/>
      <c r="AH45" s="212" t="s">
        <v>1027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584</v>
      </c>
      <c r="BH45" s="212"/>
      <c r="BI45" s="212" t="s">
        <v>1027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591</v>
      </c>
      <c r="CJ45" s="214"/>
      <c r="CK45" s="214" t="s">
        <v>1027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1028</v>
      </c>
      <c r="DL45" s="214"/>
      <c r="DM45" s="214" t="s">
        <v>1027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1029</v>
      </c>
      <c r="B46"/>
      <c r="C46"/>
      <c r="D46"/>
      <c r="E46"/>
      <c r="F46"/>
      <c r="G46"/>
      <c r="H46"/>
      <c r="I46"/>
      <c r="J46" s="168">
        <f>V263</f>
        <v>0</v>
      </c>
      <c r="K46" s="168"/>
      <c r="L46" s="168"/>
      <c r="M46" s="168"/>
      <c r="N46" s="168"/>
      <c r="O46" s="215"/>
      <c r="P46"/>
      <c r="Q46"/>
      <c r="R46"/>
      <c r="S46"/>
      <c r="T46"/>
      <c r="U46" s="40" t="s">
        <v>1030</v>
      </c>
      <c r="V46" s="62">
        <f>V44+V45</f>
        <v>69.385999999999996</v>
      </c>
      <c r="W46"/>
      <c r="X46" s="212"/>
      <c r="Y46" s="216" t="s">
        <v>921</v>
      </c>
      <c r="Z46" s="216" t="s">
        <v>937</v>
      </c>
      <c r="AA46" s="216" t="s">
        <v>938</v>
      </c>
      <c r="AB46" s="216" t="s">
        <v>939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6"/>
      <c r="EL46" s="166"/>
      <c r="EM46" s="166"/>
    </row>
    <row r="47" spans="1:143" x14ac:dyDescent="0.25">
      <c r="X47" s="213" t="s">
        <v>455</v>
      </c>
      <c r="Y47" s="216">
        <f>IF(Troupeau!B$3="BV",Troupeau!B$49,0)</f>
        <v>0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0</v>
      </c>
      <c r="AD47" s="212"/>
      <c r="AE47" s="212"/>
      <c r="AF47" s="219" t="s">
        <v>1031</v>
      </c>
      <c r="AG47" s="212" t="str">
        <f>CdTrp1!A39</f>
        <v>Brebis  lot princ</v>
      </c>
      <c r="AH47" s="216">
        <f>CdTrp1!B39</f>
        <v>24.444043321299642</v>
      </c>
      <c r="AI47" s="216">
        <f>CdTrp1!C39</f>
        <v>25.236823104693141</v>
      </c>
      <c r="AJ47" s="216">
        <f>CdTrp1!D39</f>
        <v>26.029602888086639</v>
      </c>
      <c r="AK47" s="216">
        <f>CdTrp1!E39</f>
        <v>24.972563176895306</v>
      </c>
      <c r="AL47" s="216">
        <f>CdTrp1!F39</f>
        <v>25.765342960288809</v>
      </c>
      <c r="AM47" s="216">
        <f>CdTrp1!G39</f>
        <v>26.690252707581227</v>
      </c>
      <c r="AN47" s="216">
        <f>CdTrp1!H39</f>
        <v>27.615162454873644</v>
      </c>
      <c r="AO47" s="216">
        <f>CdTrp1!I39</f>
        <v>28.672202166064981</v>
      </c>
      <c r="AP47" s="216">
        <f>CdTrp1!J39</f>
        <v>29.729241877256317</v>
      </c>
      <c r="AQ47" s="216">
        <f>CdTrp1!K39</f>
        <v>31.182671480144403</v>
      </c>
      <c r="AR47" s="216">
        <f>CdTrp1!L39</f>
        <v>31.975451263537902</v>
      </c>
      <c r="AS47" s="216">
        <f>CdTrp1!M39</f>
        <v>31.975451263537902</v>
      </c>
      <c r="AT47" s="216">
        <f>CdTrp1!N39</f>
        <v>31.975451263537902</v>
      </c>
      <c r="AU47" s="216">
        <f>CdTrp1!O39</f>
        <v>31.975451263537902</v>
      </c>
      <c r="AV47" s="216">
        <f>CdTrp1!P39</f>
        <v>31.975451263537902</v>
      </c>
      <c r="AW47" s="216">
        <f>CdTrp1!Q39</f>
        <v>31.975451263537902</v>
      </c>
      <c r="AX47" s="216">
        <f>CdTrp1!R39</f>
        <v>31.975451263537902</v>
      </c>
      <c r="AY47" s="216">
        <f>CdTrp1!S39</f>
        <v>30.257761732851982</v>
      </c>
      <c r="AZ47" s="216">
        <f>CdTrp1!T39</f>
        <v>30.257761732851982</v>
      </c>
      <c r="BA47" s="216">
        <f>CdTrp1!U39</f>
        <v>30.257761732851982</v>
      </c>
      <c r="BB47" s="216">
        <f>CdTrp1!V39</f>
        <v>34.353790613718409</v>
      </c>
      <c r="BC47" s="216">
        <f>CdTrp1!W39</f>
        <v>34.353790613718409</v>
      </c>
      <c r="BD47" s="216">
        <f>CdTrp1!X39</f>
        <v>24.444043321299642</v>
      </c>
      <c r="BE47" s="216">
        <f>CdTrp1!Y39</f>
        <v>24.444043321299642</v>
      </c>
      <c r="BF47" s="212"/>
      <c r="BG47" s="213" t="s">
        <v>1031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1031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1031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1032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109435.50399999999</v>
      </c>
      <c r="K48" s="221"/>
      <c r="L48" s="221"/>
      <c r="M48" s="221"/>
      <c r="N48" s="221"/>
      <c r="O48" s="222"/>
      <c r="X48" s="213" t="s">
        <v>503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Brebis tardives + antenaises</v>
      </c>
      <c r="AH48" s="216">
        <f>CdTrp1!B40</f>
        <v>10.306137184115522</v>
      </c>
      <c r="AI48" s="216">
        <f>CdTrp1!C40</f>
        <v>9.2490974729241877</v>
      </c>
      <c r="AJ48" s="216">
        <f>CdTrp1!D40</f>
        <v>8.1920577617328512</v>
      </c>
      <c r="AK48" s="216">
        <f>CdTrp1!E40</f>
        <v>7.1350180505415164</v>
      </c>
      <c r="AL48" s="216">
        <f>CdTrp1!F40</f>
        <v>6.0779783393501807</v>
      </c>
      <c r="AM48" s="216">
        <f>CdTrp1!G40</f>
        <v>5.0209386281588442</v>
      </c>
      <c r="AN48" s="216">
        <f>CdTrp1!H40</f>
        <v>3.9638989169675085</v>
      </c>
      <c r="AO48" s="216">
        <f>CdTrp1!I40</f>
        <v>2.7747292418772562</v>
      </c>
      <c r="AP48" s="216">
        <f>CdTrp1!J40</f>
        <v>1.5855595667870035</v>
      </c>
      <c r="AQ48" s="216">
        <f>CdTrp1!K40</f>
        <v>0</v>
      </c>
      <c r="AR48" s="216">
        <f>CdTrp1!L40</f>
        <v>0</v>
      </c>
      <c r="AS48" s="216">
        <f>CdTrp1!M40</f>
        <v>0</v>
      </c>
      <c r="AT48" s="216">
        <f>CdTrp1!N40</f>
        <v>0</v>
      </c>
      <c r="AU48" s="216">
        <f>CdTrp1!O40</f>
        <v>0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1</v>
      </c>
      <c r="AZ48" s="216">
        <f>IF(CdTrp1!F76=1,1,IF(CdTrp1!F76=2,2,IF(CdTrp1!F76=3,2,0)))</f>
        <v>1</v>
      </c>
      <c r="BA48" s="216">
        <f>IF(CdTrp1!G76=1,1,IF(CdTrp1!G76=2,2,IF(CdTrp1!G76=3,2,0)))</f>
        <v>1</v>
      </c>
      <c r="BB48" s="216">
        <f>IF(CdTrp1!H76=1,1,IF(CdTrp1!H76=2,2,IF(CdTrp1!H76=3,2,0)))</f>
        <v>1</v>
      </c>
      <c r="BC48" s="216">
        <f>IF(CdTrp1!I76=1,1,IF(CdTrp1!I76=2,2,IF(CdTrp1!I76=3,2,0)))</f>
        <v>1</v>
      </c>
      <c r="BD48" s="216">
        <f>IF(CdTrp1!J76=1,1,IF(CdTrp1!J76=2,2,IF(CdTrp1!J76=3,2,0)))</f>
        <v>1</v>
      </c>
      <c r="BE48" s="216">
        <f>IF(CdTrp1!K76=1,1,IF(CdTrp1!K76=2,2,IF(CdTrp1!K76=3,2,0)))</f>
        <v>1</v>
      </c>
      <c r="BF48" s="216">
        <f>IF(CdTrp1!L76=1,1,IF(CdTrp1!L76=2,2,IF(CdTrp1!L76=3,2,0)))</f>
        <v>1</v>
      </c>
      <c r="BG48" s="216">
        <f>IF(CdTrp1!M76=1,1,IF(CdTrp1!M76=2,2,IF(CdTrp1!M76=3,2,0)))</f>
        <v>0</v>
      </c>
      <c r="BH48" s="216">
        <f>IF(CdTrp1!N76=1,1,IF(CdTrp1!N76=2,2,IF(CdTrp1!N76=3,2,0)))</f>
        <v>0</v>
      </c>
      <c r="BI48" s="216">
        <f>IF(CdTrp1!O76=1,1,IF(CdTrp1!O76=2,2,IF(CdTrp1!O76=3,2,0)))</f>
        <v>0</v>
      </c>
      <c r="BJ48" s="216">
        <f>IF(CdTrp1!P76=1,1,IF(CdTrp1!P76=2,2,IF(CdTrp1!P76=3,2,0)))</f>
        <v>0</v>
      </c>
      <c r="BK48" s="216">
        <f>IF(CdTrp1!Q76=1,1,IF(CdTrp1!Q76=2,2,IF(CdTrp1!Q76=3,2,0)))</f>
        <v>0</v>
      </c>
      <c r="BL48" s="216">
        <f>IF(CdTrp1!R76=1,1,IF(CdTrp1!R76=2,2,IF(CdTrp1!R76=3,2,0)))</f>
        <v>0</v>
      </c>
      <c r="BM48" s="216">
        <f>IF(CdTrp1!S76=1,1,IF(CdTrp1!S76=2,2,IF(CdTrp1!S76=3,2,0)))</f>
        <v>1</v>
      </c>
      <c r="BN48" s="216">
        <f>IF(CdTrp1!T76=1,1,IF(CdTrp1!T76=2,2,IF(CdTrp1!T76=3,2,0)))</f>
        <v>1</v>
      </c>
      <c r="BO48" s="216">
        <f>IF(CdTrp1!U76=1,1,IF(CdTrp1!U76=2,2,IF(CdTrp1!U76=3,2,0)))</f>
        <v>1</v>
      </c>
      <c r="BP48" s="216">
        <f>IF(CdTrp1!V76=1,1,IF(CdTrp1!V76=2,2,IF(CdTrp1!V76=3,2,0)))</f>
        <v>1</v>
      </c>
      <c r="BQ48" s="216">
        <f>IF(CdTrp1!W76=1,1,IF(CdTrp1!W76=2,2,IF(CdTrp1!W76=3,2,0)))</f>
        <v>1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1033</v>
      </c>
      <c r="X49" s="213" t="s">
        <v>454</v>
      </c>
      <c r="Y49" s="216">
        <f>IF(Troupeau!B$3="OL",Troupeau!B$49,0)</f>
        <v>46.139999999999993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46.139999999999993</v>
      </c>
      <c r="AD49" s="212"/>
      <c r="AE49" s="212"/>
      <c r="AF49" s="212"/>
      <c r="AG49" s="269" t="str">
        <f>CdTrp1!A41</f>
        <v>Brebis vides + agnelles</v>
      </c>
      <c r="AH49" s="216">
        <f>CdTrp1!B41</f>
        <v>3.2768231046931406</v>
      </c>
      <c r="AI49" s="216">
        <f>CdTrp1!C41</f>
        <v>3.2768231046931406</v>
      </c>
      <c r="AJ49" s="216">
        <f>CdTrp1!D41</f>
        <v>3.2768231046931406</v>
      </c>
      <c r="AK49" s="216">
        <f>CdTrp1!E41</f>
        <v>3.2768231046931406</v>
      </c>
      <c r="AL49" s="216">
        <f>CdTrp1!F41</f>
        <v>5.1794945848375455</v>
      </c>
      <c r="AM49" s="216">
        <f>CdTrp1!G41</f>
        <v>5.1794945848375455</v>
      </c>
      <c r="AN49" s="216">
        <f>CdTrp1!H41</f>
        <v>5.1794945848375455</v>
      </c>
      <c r="AO49" s="216">
        <f>CdTrp1!I41</f>
        <v>5.1794945848375455</v>
      </c>
      <c r="AP49" s="216">
        <f>CdTrp1!J41</f>
        <v>5.1794945848375455</v>
      </c>
      <c r="AQ49" s="216">
        <f>CdTrp1!K41</f>
        <v>5.1794945848375455</v>
      </c>
      <c r="AR49" s="216">
        <f>CdTrp1!L41</f>
        <v>3.3296750902527079</v>
      </c>
      <c r="AS49" s="216">
        <f>CdTrp1!M41</f>
        <v>3.3296750902527079</v>
      </c>
      <c r="AT49" s="216">
        <f>CdTrp1!N41</f>
        <v>7.1350180505415164</v>
      </c>
      <c r="AU49" s="216">
        <f>CdTrp1!O41</f>
        <v>7.1350180505415164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1</v>
      </c>
      <c r="AY49" s="216">
        <f>IF(CdTrp1!E77=1,1,IF(CdTrp1!E77=2,2,IF(CdTrp1!E77=3,2,0)))</f>
        <v>1</v>
      </c>
      <c r="AZ49" s="216">
        <f>IF(CdTrp1!F77=1,1,IF(CdTrp1!F77=2,2,IF(CdTrp1!F77=3,2,0)))</f>
        <v>1</v>
      </c>
      <c r="BA49" s="216">
        <f>IF(CdTrp1!G77=1,1,IF(CdTrp1!G77=2,2,IF(CdTrp1!G77=3,2,0)))</f>
        <v>1</v>
      </c>
      <c r="BB49" s="216">
        <f>IF(CdTrp1!H77=1,1,IF(CdTrp1!H77=2,2,IF(CdTrp1!H77=3,2,0)))</f>
        <v>1</v>
      </c>
      <c r="BC49" s="216">
        <f>IF(CdTrp1!I77=1,1,IF(CdTrp1!I77=2,2,IF(CdTrp1!I77=3,2,0)))</f>
        <v>1</v>
      </c>
      <c r="BD49" s="216">
        <f>IF(CdTrp1!J77=1,1,IF(CdTrp1!J77=2,2,IF(CdTrp1!J77=3,2,0)))</f>
        <v>1</v>
      </c>
      <c r="BE49" s="216">
        <f>IF(CdTrp1!K77=1,1,IF(CdTrp1!K77=2,2,IF(CdTrp1!K77=3,2,0)))</f>
        <v>0</v>
      </c>
      <c r="BF49" s="216">
        <f>IF(CdTrp1!L77=1,1,IF(CdTrp1!L77=2,2,IF(CdTrp1!L77=3,2,0)))</f>
        <v>0</v>
      </c>
      <c r="BG49" s="216">
        <f>IF(CdTrp1!M77=1,1,IF(CdTrp1!M77=2,2,IF(CdTrp1!M77=3,2,0)))</f>
        <v>0</v>
      </c>
      <c r="BH49" s="216">
        <f>IF(CdTrp1!N77=1,1,IF(CdTrp1!N77=2,2,IF(CdTrp1!N77=3,2,0)))</f>
        <v>0</v>
      </c>
      <c r="BI49" s="216">
        <f>IF(CdTrp1!O77=1,1,IF(CdTrp1!O77=2,2,IF(CdTrp1!O77=3,2,0)))</f>
        <v>0</v>
      </c>
      <c r="BJ49" s="216">
        <f>IF(CdTrp1!P77=1,1,IF(CdTrp1!P77=2,2,IF(CdTrp1!P77=3,2,0)))</f>
        <v>0</v>
      </c>
      <c r="BK49" s="216">
        <f>IF(CdTrp1!Q77=1,1,IF(CdTrp1!Q77=2,2,IF(CdTrp1!Q77=3,2,0)))</f>
        <v>0</v>
      </c>
      <c r="BL49" s="216">
        <f>IF(CdTrp1!R77=1,1,IF(CdTrp1!R77=2,2,IF(CdTrp1!R77=3,2,0)))</f>
        <v>0</v>
      </c>
      <c r="BM49" s="216">
        <f>IF(CdTrp1!S77=1,1,IF(CdTrp1!S77=2,2,IF(CdTrp1!S77=3,2,0)))</f>
        <v>0</v>
      </c>
      <c r="BN49" s="216">
        <f>IF(CdTrp1!T77=1,1,IF(CdTrp1!T77=2,2,IF(CdTrp1!T77=3,2,0)))</f>
        <v>0</v>
      </c>
      <c r="BO49" s="216">
        <f>IF(CdTrp1!U77=1,1,IF(CdTrp1!U77=2,2,IF(CdTrp1!U77=3,2,0)))</f>
        <v>0</v>
      </c>
      <c r="BP49" s="216">
        <f>IF(CdTrp1!V77=1,1,IF(CdTrp1!V77=2,2,IF(CdTrp1!V77=3,2,0)))</f>
        <v>0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570</v>
      </c>
      <c r="R50" t="str">
        <f>Troupeau!B3</f>
        <v>OL</v>
      </c>
      <c r="S50" s="30">
        <f>Scénario!K54*Scénario!K55+Scénario!K76*Scénario!K77</f>
        <v>109.80000000000001</v>
      </c>
      <c r="X50" s="213" t="s">
        <v>990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Béliers</v>
      </c>
      <c r="AH50" s="216">
        <f>CdTrp1!B42</f>
        <v>0.79277978339350175</v>
      </c>
      <c r="AI50" s="216">
        <f>CdTrp1!C42</f>
        <v>0.79277978339350175</v>
      </c>
      <c r="AJ50" s="216">
        <f>CdTrp1!D42</f>
        <v>0.79277978339350175</v>
      </c>
      <c r="AK50" s="216">
        <f>CdTrp1!E42</f>
        <v>0.79277978339350175</v>
      </c>
      <c r="AL50" s="216">
        <f>CdTrp1!F42</f>
        <v>0.79277978339350175</v>
      </c>
      <c r="AM50" s="216">
        <f>CdTrp1!G42</f>
        <v>0.79277978339350175</v>
      </c>
      <c r="AN50" s="216">
        <f>CdTrp1!H42</f>
        <v>0.79277978339350175</v>
      </c>
      <c r="AO50" s="216">
        <f>CdTrp1!I42</f>
        <v>0.79277978339350175</v>
      </c>
      <c r="AP50" s="216">
        <f>CdTrp1!J42</f>
        <v>0.79277978339350175</v>
      </c>
      <c r="AQ50" s="216">
        <f>CdTrp1!K42</f>
        <v>0.79277978339350175</v>
      </c>
      <c r="AR50" s="216">
        <f>CdTrp1!L42</f>
        <v>0</v>
      </c>
      <c r="AS50" s="216">
        <f>CdTrp1!M42</f>
        <v>0</v>
      </c>
      <c r="AT50" s="216">
        <f>CdTrp1!N42</f>
        <v>0</v>
      </c>
      <c r="AU50" s="216">
        <f>CdTrp1!O42</f>
        <v>0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1</v>
      </c>
      <c r="AY50" s="216">
        <f>IF(CdTrp1!E78=1,1,IF(CdTrp1!E78=2,2,IF(CdTrp1!E78=3,2,0)))</f>
        <v>1</v>
      </c>
      <c r="AZ50" s="216">
        <f>IF(CdTrp1!F78=1,1,IF(CdTrp1!F78=2,2,IF(CdTrp1!F78=3,2,0)))</f>
        <v>1</v>
      </c>
      <c r="BA50" s="216">
        <f>IF(CdTrp1!G78=1,1,IF(CdTrp1!G78=2,2,IF(CdTrp1!G78=3,2,0)))</f>
        <v>1</v>
      </c>
      <c r="BB50" s="216">
        <f>IF(CdTrp1!H78=1,1,IF(CdTrp1!H78=2,2,IF(CdTrp1!H78=3,2,0)))</f>
        <v>1</v>
      </c>
      <c r="BC50" s="216">
        <f>IF(CdTrp1!I78=1,1,IF(CdTrp1!I78=2,2,IF(CdTrp1!I78=3,2,0)))</f>
        <v>1</v>
      </c>
      <c r="BD50" s="216">
        <f>IF(CdTrp1!J78=1,1,IF(CdTrp1!J78=2,2,IF(CdTrp1!J78=3,2,0)))</f>
        <v>1</v>
      </c>
      <c r="BE50" s="216">
        <f>IF(CdTrp1!K78=1,1,IF(CdTrp1!K78=2,2,IF(CdTrp1!K78=3,2,0)))</f>
        <v>1</v>
      </c>
      <c r="BF50" s="216">
        <f>IF(CdTrp1!L78=1,1,IF(CdTrp1!L78=2,2,IF(CdTrp1!L78=3,2,0)))</f>
        <v>1</v>
      </c>
      <c r="BG50" s="216">
        <f>IF(CdTrp1!M78=1,1,IF(CdTrp1!M78=2,2,IF(CdTrp1!M78=3,2,0)))</f>
        <v>0</v>
      </c>
      <c r="BH50" s="216">
        <f>IF(CdTrp1!N78=1,1,IF(CdTrp1!N78=2,2,IF(CdTrp1!N78=3,2,0)))</f>
        <v>0</v>
      </c>
      <c r="BI50" s="216">
        <f>IF(CdTrp1!O78=1,1,IF(CdTrp1!O78=2,2,IF(CdTrp1!O78=3,2,0)))</f>
        <v>0</v>
      </c>
      <c r="BJ50" s="216">
        <f>IF(CdTrp1!P78=1,1,IF(CdTrp1!P78=2,2,IF(CdTrp1!P78=3,2,0)))</f>
        <v>0</v>
      </c>
      <c r="BK50" s="216">
        <f>IF(CdTrp1!Q78=1,1,IF(CdTrp1!Q78=2,2,IF(CdTrp1!Q78=3,2,0)))</f>
        <v>1</v>
      </c>
      <c r="BL50" s="216">
        <f>IF(CdTrp1!R78=1,1,IF(CdTrp1!R78=2,2,IF(CdTrp1!R78=3,2,0)))</f>
        <v>1</v>
      </c>
      <c r="BM50" s="216">
        <f>IF(CdTrp1!S78=1,1,IF(CdTrp1!S78=2,2,IF(CdTrp1!S78=3,2,0)))</f>
        <v>1</v>
      </c>
      <c r="BN50" s="216">
        <f>IF(CdTrp1!T78=1,1,IF(CdTrp1!T78=2,2,IF(CdTrp1!T78=3,2,0)))</f>
        <v>1</v>
      </c>
      <c r="BO50" s="216">
        <f>IF(CdTrp1!U78=1,1,IF(CdTrp1!U78=2,2,IF(CdTrp1!U78=3,2,0)))</f>
        <v>1</v>
      </c>
      <c r="BP50" s="216">
        <f>IF(CdTrp1!V78=1,1,IF(CdTrp1!V78=2,2,IF(CdTrp1!V78=3,2,0)))</f>
        <v>1</v>
      </c>
      <c r="BQ50" s="216">
        <f>IF(CdTrp1!W78=1,1,IF(CdTrp1!W78=2,2,IF(CdTrp1!W78=3,2,0)))</f>
        <v>1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584</v>
      </c>
      <c r="R51" s="218" t="str">
        <f>Troupeau!C3</f>
        <v>BV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992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lot5</v>
      </c>
      <c r="AH51" s="216">
        <f>CdTrp1!B43</f>
        <v>0</v>
      </c>
      <c r="AI51" s="216">
        <f>CdTrp1!C43</f>
        <v>0</v>
      </c>
      <c r="AJ51" s="216">
        <f>CdTrp1!D43</f>
        <v>0</v>
      </c>
      <c r="AK51" s="216">
        <f>CdTrp1!E43</f>
        <v>0</v>
      </c>
      <c r="AL51" s="216">
        <f>CdTrp1!F43</f>
        <v>0</v>
      </c>
      <c r="AM51" s="216">
        <f>CdTrp1!G43</f>
        <v>0</v>
      </c>
      <c r="AN51" s="216">
        <f>CdTrp1!H43</f>
        <v>0</v>
      </c>
      <c r="AO51" s="216">
        <f>CdTrp1!I43</f>
        <v>0</v>
      </c>
      <c r="AP51" s="216">
        <f>CdTrp1!J43</f>
        <v>0</v>
      </c>
      <c r="AQ51" s="216">
        <f>CdTrp1!K43</f>
        <v>0</v>
      </c>
      <c r="AR51" s="216">
        <f>CdTrp1!L43</f>
        <v>0</v>
      </c>
      <c r="AS51" s="216">
        <f>CdTrp1!M43</f>
        <v>0</v>
      </c>
      <c r="AT51" s="216">
        <f>CdTrp1!N43</f>
        <v>0</v>
      </c>
      <c r="AU51" s="216">
        <f>CdTrp1!O43</f>
        <v>0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1</v>
      </c>
      <c r="BB51" s="216">
        <f>IF(CdTrp1!H79=1,1,IF(CdTrp1!H79=2,2,IF(CdTrp1!H79=3,2,0)))</f>
        <v>1</v>
      </c>
      <c r="BC51" s="216">
        <f>IF(CdTrp1!I79=1,1,IF(CdTrp1!I79=2,2,IF(CdTrp1!I79=3,2,0)))</f>
        <v>1</v>
      </c>
      <c r="BD51" s="216">
        <f>IF(CdTrp1!J79=1,1,IF(CdTrp1!J79=2,2,IF(CdTrp1!J79=3,2,0)))</f>
        <v>1</v>
      </c>
      <c r="BE51" s="216">
        <f>IF(CdTrp1!K79=1,1,IF(CdTrp1!K79=2,2,IF(CdTrp1!K79=3,2,0)))</f>
        <v>1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591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1034</v>
      </c>
      <c r="Y53" s="212">
        <f>ROUND(SUM(AC49:AC51)/SUM(AC47:AC51)*100,0)</f>
        <v>100</v>
      </c>
      <c r="Z53" s="212" t="s">
        <v>553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1035</v>
      </c>
      <c r="S54" s="30">
        <f>SUM(S50:S53)</f>
        <v>109.80000000000001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1036</v>
      </c>
      <c r="S55" s="30">
        <f>S54*[1]Eco!$B$25</f>
        <v>51.606000000000002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1037</v>
      </c>
      <c r="AG58" s="212" t="str">
        <f>CdTrp1!A76</f>
        <v>Brebis  lot princ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1037</v>
      </c>
      <c r="BH58" s="212" t="str">
        <f t="shared" ref="BH58:BH67" si="22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1037</v>
      </c>
      <c r="CJ58" s="212" t="str">
        <f t="shared" ref="CJ58:CJ67" si="23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1037</v>
      </c>
      <c r="DL58" s="212" t="str">
        <f t="shared" ref="DL58:DL67" si="24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Brebis tardives + antenaises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2"/>
        <v>0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3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4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Brebis vides + agnelles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2"/>
        <v>0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3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4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Béliers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2"/>
        <v>0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3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4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lot5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2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3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4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2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3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4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2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3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4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2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3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4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2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3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4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2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3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4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1038</v>
      </c>
      <c r="AG69" s="212" t="str">
        <f t="shared" ref="AG69:AG78" si="25">AG58</f>
        <v>Brebis  lot princ</v>
      </c>
      <c r="AH69" s="216">
        <f t="shared" ref="AH69:BE78" si="26">AH47*AH58</f>
        <v>0</v>
      </c>
      <c r="AI69" s="216">
        <f t="shared" si="26"/>
        <v>0</v>
      </c>
      <c r="AJ69" s="216">
        <f t="shared" si="26"/>
        <v>0</v>
      </c>
      <c r="AK69" s="216">
        <f t="shared" si="26"/>
        <v>0</v>
      </c>
      <c r="AL69" s="216">
        <f t="shared" si="26"/>
        <v>0</v>
      </c>
      <c r="AM69" s="216">
        <f t="shared" si="26"/>
        <v>0</v>
      </c>
      <c r="AN69" s="216">
        <f t="shared" si="26"/>
        <v>0</v>
      </c>
      <c r="AO69" s="216">
        <f t="shared" si="26"/>
        <v>0</v>
      </c>
      <c r="AP69" s="216">
        <f t="shared" si="26"/>
        <v>0</v>
      </c>
      <c r="AQ69" s="216">
        <f t="shared" si="26"/>
        <v>0</v>
      </c>
      <c r="AR69" s="216">
        <f t="shared" si="26"/>
        <v>0</v>
      </c>
      <c r="AS69" s="216">
        <f t="shared" si="26"/>
        <v>0</v>
      </c>
      <c r="AT69" s="216">
        <f t="shared" si="26"/>
        <v>0</v>
      </c>
      <c r="AU69" s="216">
        <f t="shared" si="26"/>
        <v>0</v>
      </c>
      <c r="AV69" s="216">
        <f t="shared" si="26"/>
        <v>0</v>
      </c>
      <c r="AW69" s="216">
        <f t="shared" si="26"/>
        <v>0</v>
      </c>
      <c r="AX69" s="216">
        <f t="shared" si="26"/>
        <v>0</v>
      </c>
      <c r="AY69" s="216">
        <f t="shared" si="26"/>
        <v>0</v>
      </c>
      <c r="AZ69" s="216">
        <f t="shared" si="26"/>
        <v>0</v>
      </c>
      <c r="BA69" s="216">
        <f t="shared" si="26"/>
        <v>0</v>
      </c>
      <c r="BB69" s="216">
        <f t="shared" si="26"/>
        <v>0</v>
      </c>
      <c r="BC69" s="216">
        <f t="shared" si="26"/>
        <v>0</v>
      </c>
      <c r="BD69" s="216">
        <f t="shared" si="26"/>
        <v>0</v>
      </c>
      <c r="BE69" s="216">
        <f t="shared" si="26"/>
        <v>0</v>
      </c>
      <c r="BF69" s="212"/>
      <c r="BG69" s="213" t="s">
        <v>1038</v>
      </c>
      <c r="BH69" s="212" t="str">
        <f t="shared" ref="BH69:BH78" si="27">BH58</f>
        <v>lot1</v>
      </c>
      <c r="BI69" s="212">
        <f t="shared" ref="BI69:CF78" si="28">BI47*BI58</f>
        <v>0</v>
      </c>
      <c r="BJ69" s="212">
        <f t="shared" si="28"/>
        <v>0</v>
      </c>
      <c r="BK69" s="212">
        <f t="shared" si="28"/>
        <v>0</v>
      </c>
      <c r="BL69" s="212">
        <f t="shared" si="28"/>
        <v>0</v>
      </c>
      <c r="BM69" s="212">
        <f t="shared" si="28"/>
        <v>0</v>
      </c>
      <c r="BN69" s="212">
        <f t="shared" si="28"/>
        <v>0</v>
      </c>
      <c r="BO69" s="212">
        <f t="shared" si="28"/>
        <v>0</v>
      </c>
      <c r="BP69" s="212">
        <f t="shared" si="28"/>
        <v>0</v>
      </c>
      <c r="BQ69" s="212">
        <f t="shared" si="28"/>
        <v>0</v>
      </c>
      <c r="BR69" s="212">
        <f t="shared" si="28"/>
        <v>0</v>
      </c>
      <c r="BS69" s="212">
        <f t="shared" si="28"/>
        <v>0</v>
      </c>
      <c r="BT69" s="212">
        <f t="shared" si="28"/>
        <v>0</v>
      </c>
      <c r="BU69" s="212">
        <f t="shared" si="28"/>
        <v>0</v>
      </c>
      <c r="BV69" s="212">
        <f t="shared" si="28"/>
        <v>0</v>
      </c>
      <c r="BW69" s="212">
        <f t="shared" si="28"/>
        <v>0</v>
      </c>
      <c r="BX69" s="212">
        <f t="shared" si="28"/>
        <v>0</v>
      </c>
      <c r="BY69" s="212">
        <f t="shared" si="28"/>
        <v>0</v>
      </c>
      <c r="BZ69" s="212">
        <f t="shared" si="28"/>
        <v>0</v>
      </c>
      <c r="CA69" s="212">
        <f t="shared" si="28"/>
        <v>0</v>
      </c>
      <c r="CB69" s="212">
        <f t="shared" si="28"/>
        <v>0</v>
      </c>
      <c r="CC69" s="212">
        <f t="shared" si="28"/>
        <v>0</v>
      </c>
      <c r="CD69" s="212">
        <f t="shared" si="28"/>
        <v>0</v>
      </c>
      <c r="CE69" s="212">
        <f t="shared" si="28"/>
        <v>0</v>
      </c>
      <c r="CF69" s="212">
        <f t="shared" si="28"/>
        <v>0</v>
      </c>
      <c r="CG69" s="212"/>
      <c r="CH69" s="212"/>
      <c r="CI69" s="213" t="s">
        <v>1038</v>
      </c>
      <c r="CJ69" s="212" t="str">
        <f t="shared" ref="CJ69:CJ78" si="29">CJ58</f>
        <v>lot1</v>
      </c>
      <c r="CK69" s="216">
        <f t="shared" ref="CK69:DH78" si="30">CK47*CK58</f>
        <v>0</v>
      </c>
      <c r="CL69" s="216">
        <f t="shared" si="30"/>
        <v>0</v>
      </c>
      <c r="CM69" s="216">
        <f t="shared" si="30"/>
        <v>0</v>
      </c>
      <c r="CN69" s="216">
        <f t="shared" si="30"/>
        <v>0</v>
      </c>
      <c r="CO69" s="216">
        <f t="shared" si="30"/>
        <v>0</v>
      </c>
      <c r="CP69" s="216">
        <f t="shared" si="30"/>
        <v>0</v>
      </c>
      <c r="CQ69" s="216">
        <f t="shared" si="30"/>
        <v>0</v>
      </c>
      <c r="CR69" s="216">
        <f t="shared" si="30"/>
        <v>0</v>
      </c>
      <c r="CS69" s="216">
        <f t="shared" si="30"/>
        <v>0</v>
      </c>
      <c r="CT69" s="216">
        <f t="shared" si="30"/>
        <v>0</v>
      </c>
      <c r="CU69" s="216">
        <f t="shared" si="30"/>
        <v>0</v>
      </c>
      <c r="CV69" s="216">
        <f t="shared" si="30"/>
        <v>0</v>
      </c>
      <c r="CW69" s="216">
        <f t="shared" si="30"/>
        <v>0</v>
      </c>
      <c r="CX69" s="216">
        <f t="shared" si="30"/>
        <v>0</v>
      </c>
      <c r="CY69" s="216">
        <f t="shared" si="30"/>
        <v>0</v>
      </c>
      <c r="CZ69" s="216">
        <f t="shared" si="30"/>
        <v>0</v>
      </c>
      <c r="DA69" s="216">
        <f t="shared" si="30"/>
        <v>0</v>
      </c>
      <c r="DB69" s="216">
        <f t="shared" si="30"/>
        <v>0</v>
      </c>
      <c r="DC69" s="216">
        <f t="shared" si="30"/>
        <v>0</v>
      </c>
      <c r="DD69" s="216">
        <f t="shared" si="30"/>
        <v>0</v>
      </c>
      <c r="DE69" s="216">
        <f t="shared" si="30"/>
        <v>0</v>
      </c>
      <c r="DF69" s="216">
        <f t="shared" si="30"/>
        <v>0</v>
      </c>
      <c r="DG69" s="216">
        <f t="shared" si="30"/>
        <v>0</v>
      </c>
      <c r="DH69" s="216">
        <f t="shared" si="30"/>
        <v>0</v>
      </c>
      <c r="DI69" s="212"/>
      <c r="DJ69" s="212"/>
      <c r="DK69" s="213" t="s">
        <v>1038</v>
      </c>
      <c r="DL69" s="212" t="str">
        <f t="shared" ref="DL69:DL78" si="31">DL58</f>
        <v>lot1</v>
      </c>
      <c r="DM69" s="216">
        <f t="shared" ref="DM69:EJ78" si="32">DM47*DM58</f>
        <v>0</v>
      </c>
      <c r="DN69" s="216">
        <f t="shared" si="32"/>
        <v>0</v>
      </c>
      <c r="DO69" s="216">
        <f t="shared" si="32"/>
        <v>0</v>
      </c>
      <c r="DP69" s="216">
        <f t="shared" si="32"/>
        <v>0</v>
      </c>
      <c r="DQ69" s="216">
        <f t="shared" si="32"/>
        <v>0</v>
      </c>
      <c r="DR69" s="216">
        <f t="shared" si="32"/>
        <v>0</v>
      </c>
      <c r="DS69" s="216">
        <f t="shared" si="32"/>
        <v>0</v>
      </c>
      <c r="DT69" s="216">
        <f t="shared" si="32"/>
        <v>0</v>
      </c>
      <c r="DU69" s="216">
        <f t="shared" si="32"/>
        <v>0</v>
      </c>
      <c r="DV69" s="216">
        <f t="shared" si="32"/>
        <v>0</v>
      </c>
      <c r="DW69" s="216">
        <f t="shared" si="32"/>
        <v>0</v>
      </c>
      <c r="DX69" s="216">
        <f t="shared" si="32"/>
        <v>0</v>
      </c>
      <c r="DY69" s="216">
        <f t="shared" si="32"/>
        <v>0</v>
      </c>
      <c r="DZ69" s="216">
        <f t="shared" si="32"/>
        <v>0</v>
      </c>
      <c r="EA69" s="216">
        <f t="shared" si="32"/>
        <v>0</v>
      </c>
      <c r="EB69" s="216">
        <f t="shared" si="32"/>
        <v>0</v>
      </c>
      <c r="EC69" s="216">
        <f t="shared" si="32"/>
        <v>0</v>
      </c>
      <c r="ED69" s="216">
        <f t="shared" si="32"/>
        <v>0</v>
      </c>
      <c r="EE69" s="216">
        <f t="shared" si="32"/>
        <v>0</v>
      </c>
      <c r="EF69" s="216">
        <f t="shared" si="32"/>
        <v>0</v>
      </c>
      <c r="EG69" s="216">
        <f t="shared" si="32"/>
        <v>0</v>
      </c>
      <c r="EH69" s="216">
        <f t="shared" si="32"/>
        <v>0</v>
      </c>
      <c r="EI69" s="216">
        <f t="shared" si="32"/>
        <v>0</v>
      </c>
      <c r="EJ69" s="216">
        <f t="shared" si="32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5"/>
        <v>Brebis tardives + antenaises</v>
      </c>
      <c r="AH70" s="216">
        <f t="shared" si="26"/>
        <v>0</v>
      </c>
      <c r="AI70" s="216">
        <f t="shared" si="26"/>
        <v>0</v>
      </c>
      <c r="AJ70" s="216">
        <f t="shared" si="26"/>
        <v>0</v>
      </c>
      <c r="AK70" s="216">
        <f t="shared" si="26"/>
        <v>0</v>
      </c>
      <c r="AL70" s="216">
        <f t="shared" si="26"/>
        <v>0</v>
      </c>
      <c r="AM70" s="216">
        <f t="shared" si="26"/>
        <v>0</v>
      </c>
      <c r="AN70" s="216">
        <f t="shared" si="26"/>
        <v>0</v>
      </c>
      <c r="AO70" s="216">
        <f t="shared" si="26"/>
        <v>0</v>
      </c>
      <c r="AP70" s="216">
        <f t="shared" si="26"/>
        <v>0</v>
      </c>
      <c r="AQ70" s="216">
        <f t="shared" si="26"/>
        <v>0</v>
      </c>
      <c r="AR70" s="216">
        <f t="shared" si="26"/>
        <v>0</v>
      </c>
      <c r="AS70" s="216">
        <f t="shared" si="26"/>
        <v>0</v>
      </c>
      <c r="AT70" s="216">
        <f t="shared" si="26"/>
        <v>0</v>
      </c>
      <c r="AU70" s="216">
        <f t="shared" si="26"/>
        <v>0</v>
      </c>
      <c r="AV70" s="216">
        <f t="shared" si="26"/>
        <v>0</v>
      </c>
      <c r="AW70" s="216">
        <f t="shared" si="26"/>
        <v>0</v>
      </c>
      <c r="AX70" s="216">
        <f t="shared" si="26"/>
        <v>0</v>
      </c>
      <c r="AY70" s="216">
        <f t="shared" si="26"/>
        <v>0</v>
      </c>
      <c r="AZ70" s="216">
        <f t="shared" si="26"/>
        <v>0</v>
      </c>
      <c r="BA70" s="216">
        <f t="shared" si="26"/>
        <v>0</v>
      </c>
      <c r="BB70" s="216">
        <f t="shared" si="26"/>
        <v>0</v>
      </c>
      <c r="BC70" s="216">
        <f t="shared" si="26"/>
        <v>0</v>
      </c>
      <c r="BD70" s="216">
        <f t="shared" si="26"/>
        <v>0</v>
      </c>
      <c r="BE70" s="216">
        <f t="shared" si="26"/>
        <v>0</v>
      </c>
      <c r="BF70" s="212"/>
      <c r="BG70" s="213"/>
      <c r="BH70" s="212">
        <f t="shared" si="27"/>
        <v>0</v>
      </c>
      <c r="BI70" s="212">
        <f t="shared" si="28"/>
        <v>0</v>
      </c>
      <c r="BJ70" s="212">
        <f t="shared" si="28"/>
        <v>0</v>
      </c>
      <c r="BK70" s="212">
        <f t="shared" si="28"/>
        <v>0</v>
      </c>
      <c r="BL70" s="212">
        <f t="shared" si="28"/>
        <v>0</v>
      </c>
      <c r="BM70" s="212">
        <f t="shared" si="28"/>
        <v>0</v>
      </c>
      <c r="BN70" s="212">
        <f t="shared" si="28"/>
        <v>0</v>
      </c>
      <c r="BO70" s="212">
        <f t="shared" si="28"/>
        <v>0</v>
      </c>
      <c r="BP70" s="212">
        <f t="shared" si="28"/>
        <v>0</v>
      </c>
      <c r="BQ70" s="212">
        <f t="shared" si="28"/>
        <v>0</v>
      </c>
      <c r="BR70" s="212">
        <f t="shared" si="28"/>
        <v>0</v>
      </c>
      <c r="BS70" s="212">
        <f t="shared" si="28"/>
        <v>0</v>
      </c>
      <c r="BT70" s="212">
        <f t="shared" si="28"/>
        <v>0</v>
      </c>
      <c r="BU70" s="212">
        <f t="shared" si="28"/>
        <v>0</v>
      </c>
      <c r="BV70" s="212">
        <f t="shared" si="28"/>
        <v>0</v>
      </c>
      <c r="BW70" s="212">
        <f t="shared" si="28"/>
        <v>0</v>
      </c>
      <c r="BX70" s="212">
        <f t="shared" si="28"/>
        <v>0</v>
      </c>
      <c r="BY70" s="212">
        <f t="shared" si="28"/>
        <v>0</v>
      </c>
      <c r="BZ70" s="212">
        <f t="shared" si="28"/>
        <v>0</v>
      </c>
      <c r="CA70" s="212">
        <f t="shared" si="28"/>
        <v>0</v>
      </c>
      <c r="CB70" s="212">
        <f t="shared" si="28"/>
        <v>0</v>
      </c>
      <c r="CC70" s="212">
        <f t="shared" si="28"/>
        <v>0</v>
      </c>
      <c r="CD70" s="212">
        <f t="shared" si="28"/>
        <v>0</v>
      </c>
      <c r="CE70" s="212">
        <f t="shared" si="28"/>
        <v>0</v>
      </c>
      <c r="CF70" s="212">
        <f t="shared" si="28"/>
        <v>0</v>
      </c>
      <c r="CG70" s="212"/>
      <c r="CH70" s="212"/>
      <c r="CI70" s="213"/>
      <c r="CJ70" s="212">
        <f t="shared" si="29"/>
        <v>0</v>
      </c>
      <c r="CK70" s="216">
        <f t="shared" si="30"/>
        <v>0</v>
      </c>
      <c r="CL70" s="216">
        <f t="shared" si="30"/>
        <v>0</v>
      </c>
      <c r="CM70" s="216">
        <f t="shared" si="30"/>
        <v>0</v>
      </c>
      <c r="CN70" s="216">
        <f t="shared" si="30"/>
        <v>0</v>
      </c>
      <c r="CO70" s="216">
        <f t="shared" si="30"/>
        <v>0</v>
      </c>
      <c r="CP70" s="216">
        <f t="shared" si="30"/>
        <v>0</v>
      </c>
      <c r="CQ70" s="216">
        <f t="shared" si="30"/>
        <v>0</v>
      </c>
      <c r="CR70" s="216">
        <f t="shared" si="30"/>
        <v>0</v>
      </c>
      <c r="CS70" s="216">
        <f t="shared" si="30"/>
        <v>0</v>
      </c>
      <c r="CT70" s="216">
        <f t="shared" si="30"/>
        <v>0</v>
      </c>
      <c r="CU70" s="216">
        <f t="shared" si="30"/>
        <v>0</v>
      </c>
      <c r="CV70" s="216">
        <f t="shared" si="30"/>
        <v>0</v>
      </c>
      <c r="CW70" s="216">
        <f t="shared" si="30"/>
        <v>0</v>
      </c>
      <c r="CX70" s="216">
        <f t="shared" si="30"/>
        <v>0</v>
      </c>
      <c r="CY70" s="216">
        <f t="shared" si="30"/>
        <v>0</v>
      </c>
      <c r="CZ70" s="216">
        <f t="shared" si="30"/>
        <v>0</v>
      </c>
      <c r="DA70" s="216">
        <f t="shared" si="30"/>
        <v>0</v>
      </c>
      <c r="DB70" s="216">
        <f t="shared" si="30"/>
        <v>0</v>
      </c>
      <c r="DC70" s="216">
        <f t="shared" si="30"/>
        <v>0</v>
      </c>
      <c r="DD70" s="216">
        <f t="shared" si="30"/>
        <v>0</v>
      </c>
      <c r="DE70" s="216">
        <f t="shared" si="30"/>
        <v>0</v>
      </c>
      <c r="DF70" s="216">
        <f t="shared" si="30"/>
        <v>0</v>
      </c>
      <c r="DG70" s="216">
        <f t="shared" si="30"/>
        <v>0</v>
      </c>
      <c r="DH70" s="216">
        <f t="shared" si="30"/>
        <v>0</v>
      </c>
      <c r="DI70" s="212"/>
      <c r="DJ70" s="212"/>
      <c r="DK70" s="213"/>
      <c r="DL70" s="212">
        <f t="shared" si="31"/>
        <v>0</v>
      </c>
      <c r="DM70" s="216">
        <f t="shared" si="32"/>
        <v>0</v>
      </c>
      <c r="DN70" s="216">
        <f t="shared" si="32"/>
        <v>0</v>
      </c>
      <c r="DO70" s="216">
        <f t="shared" si="32"/>
        <v>0</v>
      </c>
      <c r="DP70" s="216">
        <f t="shared" si="32"/>
        <v>0</v>
      </c>
      <c r="DQ70" s="216">
        <f t="shared" si="32"/>
        <v>0</v>
      </c>
      <c r="DR70" s="216">
        <f t="shared" si="32"/>
        <v>0</v>
      </c>
      <c r="DS70" s="216">
        <f t="shared" si="32"/>
        <v>0</v>
      </c>
      <c r="DT70" s="216">
        <f t="shared" si="32"/>
        <v>0</v>
      </c>
      <c r="DU70" s="216">
        <f t="shared" si="32"/>
        <v>0</v>
      </c>
      <c r="DV70" s="216">
        <f t="shared" si="32"/>
        <v>0</v>
      </c>
      <c r="DW70" s="216">
        <f t="shared" si="32"/>
        <v>0</v>
      </c>
      <c r="DX70" s="216">
        <f t="shared" si="32"/>
        <v>0</v>
      </c>
      <c r="DY70" s="216">
        <f t="shared" si="32"/>
        <v>0</v>
      </c>
      <c r="DZ70" s="216">
        <f t="shared" si="32"/>
        <v>0</v>
      </c>
      <c r="EA70" s="216">
        <f t="shared" si="32"/>
        <v>0</v>
      </c>
      <c r="EB70" s="216">
        <f t="shared" si="32"/>
        <v>0</v>
      </c>
      <c r="EC70" s="216">
        <f t="shared" si="32"/>
        <v>0</v>
      </c>
      <c r="ED70" s="216">
        <f t="shared" si="32"/>
        <v>0</v>
      </c>
      <c r="EE70" s="216">
        <f t="shared" si="32"/>
        <v>0</v>
      </c>
      <c r="EF70" s="216">
        <f t="shared" si="32"/>
        <v>0</v>
      </c>
      <c r="EG70" s="216">
        <f t="shared" si="32"/>
        <v>0</v>
      </c>
      <c r="EH70" s="216">
        <f t="shared" si="32"/>
        <v>0</v>
      </c>
      <c r="EI70" s="216">
        <f t="shared" si="32"/>
        <v>0</v>
      </c>
      <c r="EJ70" s="216">
        <f t="shared" si="32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5"/>
        <v>Brebis vides + agnelles</v>
      </c>
      <c r="AH71" s="216">
        <f t="shared" si="26"/>
        <v>0</v>
      </c>
      <c r="AI71" s="216">
        <f t="shared" si="26"/>
        <v>0</v>
      </c>
      <c r="AJ71" s="216">
        <f t="shared" si="26"/>
        <v>0</v>
      </c>
      <c r="AK71" s="216">
        <f t="shared" si="26"/>
        <v>0</v>
      </c>
      <c r="AL71" s="216">
        <f t="shared" si="26"/>
        <v>0</v>
      </c>
      <c r="AM71" s="216">
        <f t="shared" si="26"/>
        <v>0</v>
      </c>
      <c r="AN71" s="216">
        <f t="shared" si="26"/>
        <v>0</v>
      </c>
      <c r="AO71" s="216">
        <f t="shared" si="26"/>
        <v>0</v>
      </c>
      <c r="AP71" s="216">
        <f t="shared" si="26"/>
        <v>0</v>
      </c>
      <c r="AQ71" s="216">
        <f t="shared" si="26"/>
        <v>0</v>
      </c>
      <c r="AR71" s="216">
        <f t="shared" si="26"/>
        <v>0</v>
      </c>
      <c r="AS71" s="216">
        <f t="shared" si="26"/>
        <v>0</v>
      </c>
      <c r="AT71" s="216">
        <f t="shared" si="26"/>
        <v>0</v>
      </c>
      <c r="AU71" s="216">
        <f t="shared" si="26"/>
        <v>0</v>
      </c>
      <c r="AV71" s="216">
        <f t="shared" si="26"/>
        <v>0</v>
      </c>
      <c r="AW71" s="216">
        <f t="shared" si="26"/>
        <v>0</v>
      </c>
      <c r="AX71" s="216">
        <f t="shared" si="26"/>
        <v>0</v>
      </c>
      <c r="AY71" s="216">
        <f t="shared" si="26"/>
        <v>0</v>
      </c>
      <c r="AZ71" s="216">
        <f t="shared" si="26"/>
        <v>0</v>
      </c>
      <c r="BA71" s="216">
        <f t="shared" si="26"/>
        <v>0</v>
      </c>
      <c r="BB71" s="216">
        <f t="shared" si="26"/>
        <v>0</v>
      </c>
      <c r="BC71" s="216">
        <f t="shared" si="26"/>
        <v>0</v>
      </c>
      <c r="BD71" s="216">
        <f t="shared" si="26"/>
        <v>0</v>
      </c>
      <c r="BE71" s="216">
        <f t="shared" si="26"/>
        <v>0</v>
      </c>
      <c r="BF71" s="212"/>
      <c r="BG71" s="213"/>
      <c r="BH71" s="212">
        <f t="shared" si="27"/>
        <v>0</v>
      </c>
      <c r="BI71" s="212">
        <f t="shared" si="28"/>
        <v>0</v>
      </c>
      <c r="BJ71" s="212">
        <f t="shared" si="28"/>
        <v>0</v>
      </c>
      <c r="BK71" s="212">
        <f t="shared" si="28"/>
        <v>0</v>
      </c>
      <c r="BL71" s="212">
        <f t="shared" si="28"/>
        <v>0</v>
      </c>
      <c r="BM71" s="212">
        <f t="shared" si="28"/>
        <v>0</v>
      </c>
      <c r="BN71" s="212">
        <f t="shared" si="28"/>
        <v>0</v>
      </c>
      <c r="BO71" s="212">
        <f t="shared" si="28"/>
        <v>0</v>
      </c>
      <c r="BP71" s="212">
        <f t="shared" si="28"/>
        <v>0</v>
      </c>
      <c r="BQ71" s="212">
        <f t="shared" si="28"/>
        <v>0</v>
      </c>
      <c r="BR71" s="212">
        <f t="shared" si="28"/>
        <v>0</v>
      </c>
      <c r="BS71" s="212">
        <f t="shared" si="28"/>
        <v>0</v>
      </c>
      <c r="BT71" s="212">
        <f t="shared" si="28"/>
        <v>0</v>
      </c>
      <c r="BU71" s="212">
        <f t="shared" si="28"/>
        <v>0</v>
      </c>
      <c r="BV71" s="212">
        <f t="shared" si="28"/>
        <v>0</v>
      </c>
      <c r="BW71" s="212">
        <f t="shared" si="28"/>
        <v>0</v>
      </c>
      <c r="BX71" s="212">
        <f t="shared" si="28"/>
        <v>0</v>
      </c>
      <c r="BY71" s="212">
        <f t="shared" si="28"/>
        <v>0</v>
      </c>
      <c r="BZ71" s="212">
        <f t="shared" si="28"/>
        <v>0</v>
      </c>
      <c r="CA71" s="212">
        <f t="shared" si="28"/>
        <v>0</v>
      </c>
      <c r="CB71" s="212">
        <f t="shared" si="28"/>
        <v>0</v>
      </c>
      <c r="CC71" s="212">
        <f t="shared" si="28"/>
        <v>0</v>
      </c>
      <c r="CD71" s="212">
        <f t="shared" si="28"/>
        <v>0</v>
      </c>
      <c r="CE71" s="212">
        <f t="shared" si="28"/>
        <v>0</v>
      </c>
      <c r="CF71" s="212">
        <f t="shared" si="28"/>
        <v>0</v>
      </c>
      <c r="CG71" s="212"/>
      <c r="CH71" s="212"/>
      <c r="CI71" s="213"/>
      <c r="CJ71" s="212">
        <f t="shared" si="29"/>
        <v>0</v>
      </c>
      <c r="CK71" s="216">
        <f t="shared" si="30"/>
        <v>0</v>
      </c>
      <c r="CL71" s="216">
        <f t="shared" si="30"/>
        <v>0</v>
      </c>
      <c r="CM71" s="216">
        <f t="shared" si="30"/>
        <v>0</v>
      </c>
      <c r="CN71" s="216">
        <f t="shared" si="30"/>
        <v>0</v>
      </c>
      <c r="CO71" s="216">
        <f t="shared" si="30"/>
        <v>0</v>
      </c>
      <c r="CP71" s="216">
        <f t="shared" si="30"/>
        <v>0</v>
      </c>
      <c r="CQ71" s="216">
        <f t="shared" si="30"/>
        <v>0</v>
      </c>
      <c r="CR71" s="216">
        <f t="shared" si="30"/>
        <v>0</v>
      </c>
      <c r="CS71" s="216">
        <f t="shared" si="30"/>
        <v>0</v>
      </c>
      <c r="CT71" s="216">
        <f t="shared" si="30"/>
        <v>0</v>
      </c>
      <c r="CU71" s="216">
        <f t="shared" si="30"/>
        <v>0</v>
      </c>
      <c r="CV71" s="216">
        <f t="shared" si="30"/>
        <v>0</v>
      </c>
      <c r="CW71" s="216">
        <f t="shared" si="30"/>
        <v>0</v>
      </c>
      <c r="CX71" s="216">
        <f t="shared" si="30"/>
        <v>0</v>
      </c>
      <c r="CY71" s="216">
        <f t="shared" si="30"/>
        <v>0</v>
      </c>
      <c r="CZ71" s="216">
        <f t="shared" si="30"/>
        <v>0</v>
      </c>
      <c r="DA71" s="216">
        <f t="shared" si="30"/>
        <v>0</v>
      </c>
      <c r="DB71" s="216">
        <f t="shared" si="30"/>
        <v>0</v>
      </c>
      <c r="DC71" s="216">
        <f t="shared" si="30"/>
        <v>0</v>
      </c>
      <c r="DD71" s="216">
        <f t="shared" si="30"/>
        <v>0</v>
      </c>
      <c r="DE71" s="216">
        <f t="shared" si="30"/>
        <v>0</v>
      </c>
      <c r="DF71" s="216">
        <f t="shared" si="30"/>
        <v>0</v>
      </c>
      <c r="DG71" s="216">
        <f t="shared" si="30"/>
        <v>0</v>
      </c>
      <c r="DH71" s="216">
        <f t="shared" si="30"/>
        <v>0</v>
      </c>
      <c r="DI71" s="212"/>
      <c r="DJ71" s="212"/>
      <c r="DK71" s="213"/>
      <c r="DL71" s="212">
        <f t="shared" si="31"/>
        <v>0</v>
      </c>
      <c r="DM71" s="216">
        <f t="shared" si="32"/>
        <v>0</v>
      </c>
      <c r="DN71" s="216">
        <f t="shared" si="32"/>
        <v>0</v>
      </c>
      <c r="DO71" s="216">
        <f t="shared" si="32"/>
        <v>0</v>
      </c>
      <c r="DP71" s="216">
        <f t="shared" si="32"/>
        <v>0</v>
      </c>
      <c r="DQ71" s="216">
        <f t="shared" si="32"/>
        <v>0</v>
      </c>
      <c r="DR71" s="216">
        <f t="shared" si="32"/>
        <v>0</v>
      </c>
      <c r="DS71" s="216">
        <f t="shared" si="32"/>
        <v>0</v>
      </c>
      <c r="DT71" s="216">
        <f t="shared" si="32"/>
        <v>0</v>
      </c>
      <c r="DU71" s="216">
        <f t="shared" si="32"/>
        <v>0</v>
      </c>
      <c r="DV71" s="216">
        <f t="shared" si="32"/>
        <v>0</v>
      </c>
      <c r="DW71" s="216">
        <f t="shared" si="32"/>
        <v>0</v>
      </c>
      <c r="DX71" s="216">
        <f t="shared" si="32"/>
        <v>0</v>
      </c>
      <c r="DY71" s="216">
        <f t="shared" si="32"/>
        <v>0</v>
      </c>
      <c r="DZ71" s="216">
        <f t="shared" si="32"/>
        <v>0</v>
      </c>
      <c r="EA71" s="216">
        <f t="shared" si="32"/>
        <v>0</v>
      </c>
      <c r="EB71" s="216">
        <f t="shared" si="32"/>
        <v>0</v>
      </c>
      <c r="EC71" s="216">
        <f t="shared" si="32"/>
        <v>0</v>
      </c>
      <c r="ED71" s="216">
        <f t="shared" si="32"/>
        <v>0</v>
      </c>
      <c r="EE71" s="216">
        <f t="shared" si="32"/>
        <v>0</v>
      </c>
      <c r="EF71" s="216">
        <f t="shared" si="32"/>
        <v>0</v>
      </c>
      <c r="EG71" s="216">
        <f t="shared" si="32"/>
        <v>0</v>
      </c>
      <c r="EH71" s="216">
        <f t="shared" si="32"/>
        <v>0</v>
      </c>
      <c r="EI71" s="216">
        <f t="shared" si="32"/>
        <v>0</v>
      </c>
      <c r="EJ71" s="216">
        <f t="shared" si="32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5"/>
        <v>Béliers</v>
      </c>
      <c r="AH72" s="216">
        <f t="shared" si="26"/>
        <v>0</v>
      </c>
      <c r="AI72" s="216">
        <f t="shared" si="26"/>
        <v>0</v>
      </c>
      <c r="AJ72" s="216">
        <f t="shared" si="26"/>
        <v>0</v>
      </c>
      <c r="AK72" s="216">
        <f t="shared" si="26"/>
        <v>0</v>
      </c>
      <c r="AL72" s="216">
        <f t="shared" si="26"/>
        <v>0</v>
      </c>
      <c r="AM72" s="216">
        <f t="shared" si="26"/>
        <v>0</v>
      </c>
      <c r="AN72" s="216">
        <f t="shared" si="26"/>
        <v>0</v>
      </c>
      <c r="AO72" s="216">
        <f t="shared" si="26"/>
        <v>0</v>
      </c>
      <c r="AP72" s="216">
        <f t="shared" si="26"/>
        <v>0</v>
      </c>
      <c r="AQ72" s="216">
        <f t="shared" si="26"/>
        <v>0</v>
      </c>
      <c r="AR72" s="216">
        <f t="shared" si="26"/>
        <v>0</v>
      </c>
      <c r="AS72" s="216">
        <f t="shared" si="26"/>
        <v>0</v>
      </c>
      <c r="AT72" s="216">
        <f t="shared" si="26"/>
        <v>0</v>
      </c>
      <c r="AU72" s="216">
        <f t="shared" si="26"/>
        <v>0</v>
      </c>
      <c r="AV72" s="216">
        <f t="shared" si="26"/>
        <v>0</v>
      </c>
      <c r="AW72" s="216">
        <f t="shared" si="26"/>
        <v>0</v>
      </c>
      <c r="AX72" s="216">
        <f t="shared" si="26"/>
        <v>0</v>
      </c>
      <c r="AY72" s="216">
        <f t="shared" si="26"/>
        <v>0</v>
      </c>
      <c r="AZ72" s="216">
        <f t="shared" si="26"/>
        <v>0</v>
      </c>
      <c r="BA72" s="216">
        <f t="shared" si="26"/>
        <v>0</v>
      </c>
      <c r="BB72" s="216">
        <f t="shared" si="26"/>
        <v>0</v>
      </c>
      <c r="BC72" s="216">
        <f t="shared" si="26"/>
        <v>0</v>
      </c>
      <c r="BD72" s="216">
        <f t="shared" si="26"/>
        <v>0</v>
      </c>
      <c r="BE72" s="216">
        <f t="shared" si="26"/>
        <v>0</v>
      </c>
      <c r="BF72" s="212"/>
      <c r="BG72" s="213"/>
      <c r="BH72" s="212">
        <f t="shared" si="27"/>
        <v>0</v>
      </c>
      <c r="BI72" s="212">
        <f t="shared" si="28"/>
        <v>0</v>
      </c>
      <c r="BJ72" s="212">
        <f t="shared" si="28"/>
        <v>0</v>
      </c>
      <c r="BK72" s="212">
        <f t="shared" si="28"/>
        <v>0</v>
      </c>
      <c r="BL72" s="212">
        <f t="shared" si="28"/>
        <v>0</v>
      </c>
      <c r="BM72" s="212">
        <f t="shared" si="28"/>
        <v>0</v>
      </c>
      <c r="BN72" s="212">
        <f t="shared" si="28"/>
        <v>0</v>
      </c>
      <c r="BO72" s="212">
        <f t="shared" si="28"/>
        <v>0</v>
      </c>
      <c r="BP72" s="212">
        <f t="shared" si="28"/>
        <v>0</v>
      </c>
      <c r="BQ72" s="212">
        <f t="shared" si="28"/>
        <v>0</v>
      </c>
      <c r="BR72" s="212">
        <f t="shared" si="28"/>
        <v>0</v>
      </c>
      <c r="BS72" s="212">
        <f t="shared" si="28"/>
        <v>0</v>
      </c>
      <c r="BT72" s="212">
        <f t="shared" si="28"/>
        <v>0</v>
      </c>
      <c r="BU72" s="212">
        <f t="shared" si="28"/>
        <v>0</v>
      </c>
      <c r="BV72" s="212">
        <f t="shared" si="28"/>
        <v>0</v>
      </c>
      <c r="BW72" s="212">
        <f t="shared" si="28"/>
        <v>0</v>
      </c>
      <c r="BX72" s="212">
        <f t="shared" si="28"/>
        <v>0</v>
      </c>
      <c r="BY72" s="212">
        <f t="shared" si="28"/>
        <v>0</v>
      </c>
      <c r="BZ72" s="212">
        <f t="shared" si="28"/>
        <v>0</v>
      </c>
      <c r="CA72" s="212">
        <f t="shared" si="28"/>
        <v>0</v>
      </c>
      <c r="CB72" s="212">
        <f t="shared" si="28"/>
        <v>0</v>
      </c>
      <c r="CC72" s="212">
        <f t="shared" si="28"/>
        <v>0</v>
      </c>
      <c r="CD72" s="212">
        <f t="shared" si="28"/>
        <v>0</v>
      </c>
      <c r="CE72" s="212">
        <f t="shared" si="28"/>
        <v>0</v>
      </c>
      <c r="CF72" s="212">
        <f t="shared" si="28"/>
        <v>0</v>
      </c>
      <c r="CG72" s="212"/>
      <c r="CH72" s="212"/>
      <c r="CI72" s="213"/>
      <c r="CJ72" s="212">
        <f t="shared" si="29"/>
        <v>0</v>
      </c>
      <c r="CK72" s="216">
        <f t="shared" si="30"/>
        <v>0</v>
      </c>
      <c r="CL72" s="216">
        <f t="shared" si="30"/>
        <v>0</v>
      </c>
      <c r="CM72" s="216">
        <f t="shared" si="30"/>
        <v>0</v>
      </c>
      <c r="CN72" s="216">
        <f t="shared" si="30"/>
        <v>0</v>
      </c>
      <c r="CO72" s="216">
        <f t="shared" si="30"/>
        <v>0</v>
      </c>
      <c r="CP72" s="216">
        <f t="shared" si="30"/>
        <v>0</v>
      </c>
      <c r="CQ72" s="216">
        <f t="shared" si="30"/>
        <v>0</v>
      </c>
      <c r="CR72" s="216">
        <f t="shared" si="30"/>
        <v>0</v>
      </c>
      <c r="CS72" s="216">
        <f t="shared" si="30"/>
        <v>0</v>
      </c>
      <c r="CT72" s="216">
        <f t="shared" si="30"/>
        <v>0</v>
      </c>
      <c r="CU72" s="216">
        <f t="shared" si="30"/>
        <v>0</v>
      </c>
      <c r="CV72" s="216">
        <f t="shared" si="30"/>
        <v>0</v>
      </c>
      <c r="CW72" s="216">
        <f t="shared" si="30"/>
        <v>0</v>
      </c>
      <c r="CX72" s="216">
        <f t="shared" si="30"/>
        <v>0</v>
      </c>
      <c r="CY72" s="216">
        <f t="shared" si="30"/>
        <v>0</v>
      </c>
      <c r="CZ72" s="216">
        <f t="shared" si="30"/>
        <v>0</v>
      </c>
      <c r="DA72" s="216">
        <f t="shared" si="30"/>
        <v>0</v>
      </c>
      <c r="DB72" s="216">
        <f t="shared" si="30"/>
        <v>0</v>
      </c>
      <c r="DC72" s="216">
        <f t="shared" si="30"/>
        <v>0</v>
      </c>
      <c r="DD72" s="216">
        <f t="shared" si="30"/>
        <v>0</v>
      </c>
      <c r="DE72" s="216">
        <f t="shared" si="30"/>
        <v>0</v>
      </c>
      <c r="DF72" s="216">
        <f t="shared" si="30"/>
        <v>0</v>
      </c>
      <c r="DG72" s="216">
        <f t="shared" si="30"/>
        <v>0</v>
      </c>
      <c r="DH72" s="216">
        <f t="shared" si="30"/>
        <v>0</v>
      </c>
      <c r="DI72" s="212"/>
      <c r="DJ72" s="212"/>
      <c r="DK72" s="213"/>
      <c r="DL72" s="212">
        <f t="shared" si="31"/>
        <v>0</v>
      </c>
      <c r="DM72" s="216">
        <f t="shared" si="32"/>
        <v>0</v>
      </c>
      <c r="DN72" s="216">
        <f t="shared" si="32"/>
        <v>0</v>
      </c>
      <c r="DO72" s="216">
        <f t="shared" si="32"/>
        <v>0</v>
      </c>
      <c r="DP72" s="216">
        <f t="shared" si="32"/>
        <v>0</v>
      </c>
      <c r="DQ72" s="216">
        <f t="shared" si="32"/>
        <v>0</v>
      </c>
      <c r="DR72" s="216">
        <f t="shared" si="32"/>
        <v>0</v>
      </c>
      <c r="DS72" s="216">
        <f t="shared" si="32"/>
        <v>0</v>
      </c>
      <c r="DT72" s="216">
        <f t="shared" si="32"/>
        <v>0</v>
      </c>
      <c r="DU72" s="216">
        <f t="shared" si="32"/>
        <v>0</v>
      </c>
      <c r="DV72" s="216">
        <f t="shared" si="32"/>
        <v>0</v>
      </c>
      <c r="DW72" s="216">
        <f t="shared" si="32"/>
        <v>0</v>
      </c>
      <c r="DX72" s="216">
        <f t="shared" si="32"/>
        <v>0</v>
      </c>
      <c r="DY72" s="216">
        <f t="shared" si="32"/>
        <v>0</v>
      </c>
      <c r="DZ72" s="216">
        <f t="shared" si="32"/>
        <v>0</v>
      </c>
      <c r="EA72" s="216">
        <f t="shared" si="32"/>
        <v>0</v>
      </c>
      <c r="EB72" s="216">
        <f t="shared" si="32"/>
        <v>0</v>
      </c>
      <c r="EC72" s="216">
        <f t="shared" si="32"/>
        <v>0</v>
      </c>
      <c r="ED72" s="216">
        <f t="shared" si="32"/>
        <v>0</v>
      </c>
      <c r="EE72" s="216">
        <f t="shared" si="32"/>
        <v>0</v>
      </c>
      <c r="EF72" s="216">
        <f t="shared" si="32"/>
        <v>0</v>
      </c>
      <c r="EG72" s="216">
        <f t="shared" si="32"/>
        <v>0</v>
      </c>
      <c r="EH72" s="216">
        <f t="shared" si="32"/>
        <v>0</v>
      </c>
      <c r="EI72" s="216">
        <f t="shared" si="32"/>
        <v>0</v>
      </c>
      <c r="EJ72" s="216">
        <f t="shared" si="32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5"/>
        <v>lot5</v>
      </c>
      <c r="AH73" s="216">
        <f t="shared" si="26"/>
        <v>0</v>
      </c>
      <c r="AI73" s="216">
        <f t="shared" si="26"/>
        <v>0</v>
      </c>
      <c r="AJ73" s="216">
        <f t="shared" si="26"/>
        <v>0</v>
      </c>
      <c r="AK73" s="216">
        <f t="shared" si="26"/>
        <v>0</v>
      </c>
      <c r="AL73" s="216">
        <f t="shared" si="26"/>
        <v>0</v>
      </c>
      <c r="AM73" s="216">
        <f t="shared" si="26"/>
        <v>0</v>
      </c>
      <c r="AN73" s="216">
        <f t="shared" si="26"/>
        <v>0</v>
      </c>
      <c r="AO73" s="216">
        <f t="shared" si="26"/>
        <v>0</v>
      </c>
      <c r="AP73" s="216">
        <f t="shared" si="26"/>
        <v>0</v>
      </c>
      <c r="AQ73" s="216">
        <f t="shared" si="26"/>
        <v>0</v>
      </c>
      <c r="AR73" s="216">
        <f t="shared" si="26"/>
        <v>0</v>
      </c>
      <c r="AS73" s="216">
        <f t="shared" si="26"/>
        <v>0</v>
      </c>
      <c r="AT73" s="216">
        <f t="shared" si="26"/>
        <v>0</v>
      </c>
      <c r="AU73" s="216">
        <f t="shared" si="26"/>
        <v>0</v>
      </c>
      <c r="AV73" s="216">
        <f t="shared" si="26"/>
        <v>0</v>
      </c>
      <c r="AW73" s="216">
        <f t="shared" si="26"/>
        <v>0</v>
      </c>
      <c r="AX73" s="216">
        <f t="shared" si="26"/>
        <v>0</v>
      </c>
      <c r="AY73" s="216">
        <f t="shared" si="26"/>
        <v>0</v>
      </c>
      <c r="AZ73" s="216">
        <f t="shared" si="26"/>
        <v>0</v>
      </c>
      <c r="BA73" s="216">
        <f t="shared" si="26"/>
        <v>0</v>
      </c>
      <c r="BB73" s="216">
        <f t="shared" si="26"/>
        <v>0</v>
      </c>
      <c r="BC73" s="216">
        <f t="shared" si="26"/>
        <v>0</v>
      </c>
      <c r="BD73" s="216">
        <f t="shared" si="26"/>
        <v>0</v>
      </c>
      <c r="BE73" s="216">
        <f t="shared" si="26"/>
        <v>0</v>
      </c>
      <c r="BF73" s="212"/>
      <c r="BG73" s="213"/>
      <c r="BH73" s="212">
        <f t="shared" si="27"/>
        <v>0</v>
      </c>
      <c r="BI73" s="212">
        <f t="shared" si="28"/>
        <v>0</v>
      </c>
      <c r="BJ73" s="212">
        <f t="shared" si="28"/>
        <v>0</v>
      </c>
      <c r="BK73" s="212">
        <f t="shared" si="28"/>
        <v>0</v>
      </c>
      <c r="BL73" s="212">
        <f t="shared" si="28"/>
        <v>0</v>
      </c>
      <c r="BM73" s="212">
        <f t="shared" si="28"/>
        <v>0</v>
      </c>
      <c r="BN73" s="212">
        <f t="shared" si="28"/>
        <v>0</v>
      </c>
      <c r="BO73" s="212">
        <f t="shared" si="28"/>
        <v>0</v>
      </c>
      <c r="BP73" s="212">
        <f t="shared" si="28"/>
        <v>0</v>
      </c>
      <c r="BQ73" s="212">
        <f t="shared" si="28"/>
        <v>0</v>
      </c>
      <c r="BR73" s="212">
        <f t="shared" si="28"/>
        <v>0</v>
      </c>
      <c r="BS73" s="212">
        <f t="shared" si="28"/>
        <v>0</v>
      </c>
      <c r="BT73" s="212">
        <f t="shared" si="28"/>
        <v>0</v>
      </c>
      <c r="BU73" s="212">
        <f t="shared" si="28"/>
        <v>0</v>
      </c>
      <c r="BV73" s="212">
        <f t="shared" si="28"/>
        <v>0</v>
      </c>
      <c r="BW73" s="212">
        <f t="shared" si="28"/>
        <v>0</v>
      </c>
      <c r="BX73" s="212">
        <f t="shared" si="28"/>
        <v>0</v>
      </c>
      <c r="BY73" s="212">
        <f t="shared" si="28"/>
        <v>0</v>
      </c>
      <c r="BZ73" s="212">
        <f t="shared" si="28"/>
        <v>0</v>
      </c>
      <c r="CA73" s="212">
        <f t="shared" si="28"/>
        <v>0</v>
      </c>
      <c r="CB73" s="212">
        <f t="shared" si="28"/>
        <v>0</v>
      </c>
      <c r="CC73" s="212">
        <f t="shared" si="28"/>
        <v>0</v>
      </c>
      <c r="CD73" s="212">
        <f t="shared" si="28"/>
        <v>0</v>
      </c>
      <c r="CE73" s="212">
        <f t="shared" si="28"/>
        <v>0</v>
      </c>
      <c r="CF73" s="212">
        <f t="shared" si="28"/>
        <v>0</v>
      </c>
      <c r="CG73" s="212"/>
      <c r="CH73" s="212"/>
      <c r="CI73" s="213"/>
      <c r="CJ73" s="212">
        <f t="shared" si="29"/>
        <v>0</v>
      </c>
      <c r="CK73" s="216">
        <f t="shared" si="30"/>
        <v>0</v>
      </c>
      <c r="CL73" s="216">
        <f t="shared" si="30"/>
        <v>0</v>
      </c>
      <c r="CM73" s="216">
        <f t="shared" si="30"/>
        <v>0</v>
      </c>
      <c r="CN73" s="216">
        <f t="shared" si="30"/>
        <v>0</v>
      </c>
      <c r="CO73" s="216">
        <f t="shared" si="30"/>
        <v>0</v>
      </c>
      <c r="CP73" s="216">
        <f t="shared" si="30"/>
        <v>0</v>
      </c>
      <c r="CQ73" s="216">
        <f t="shared" si="30"/>
        <v>0</v>
      </c>
      <c r="CR73" s="216">
        <f t="shared" si="30"/>
        <v>0</v>
      </c>
      <c r="CS73" s="216">
        <f t="shared" si="30"/>
        <v>0</v>
      </c>
      <c r="CT73" s="216">
        <f t="shared" si="30"/>
        <v>0</v>
      </c>
      <c r="CU73" s="216">
        <f t="shared" si="30"/>
        <v>0</v>
      </c>
      <c r="CV73" s="216">
        <f t="shared" si="30"/>
        <v>0</v>
      </c>
      <c r="CW73" s="216">
        <f t="shared" si="30"/>
        <v>0</v>
      </c>
      <c r="CX73" s="216">
        <f t="shared" si="30"/>
        <v>0</v>
      </c>
      <c r="CY73" s="216">
        <f t="shared" si="30"/>
        <v>0</v>
      </c>
      <c r="CZ73" s="216">
        <f t="shared" si="30"/>
        <v>0</v>
      </c>
      <c r="DA73" s="216">
        <f t="shared" si="30"/>
        <v>0</v>
      </c>
      <c r="DB73" s="216">
        <f t="shared" si="30"/>
        <v>0</v>
      </c>
      <c r="DC73" s="216">
        <f t="shared" si="30"/>
        <v>0</v>
      </c>
      <c r="DD73" s="216">
        <f t="shared" si="30"/>
        <v>0</v>
      </c>
      <c r="DE73" s="216">
        <f t="shared" si="30"/>
        <v>0</v>
      </c>
      <c r="DF73" s="216">
        <f t="shared" si="30"/>
        <v>0</v>
      </c>
      <c r="DG73" s="216">
        <f t="shared" si="30"/>
        <v>0</v>
      </c>
      <c r="DH73" s="216">
        <f t="shared" si="30"/>
        <v>0</v>
      </c>
      <c r="DI73" s="212"/>
      <c r="DJ73" s="212"/>
      <c r="DK73" s="213"/>
      <c r="DL73" s="212">
        <f t="shared" si="31"/>
        <v>0</v>
      </c>
      <c r="DM73" s="216">
        <f t="shared" si="32"/>
        <v>0</v>
      </c>
      <c r="DN73" s="216">
        <f t="shared" si="32"/>
        <v>0</v>
      </c>
      <c r="DO73" s="216">
        <f t="shared" si="32"/>
        <v>0</v>
      </c>
      <c r="DP73" s="216">
        <f t="shared" si="32"/>
        <v>0</v>
      </c>
      <c r="DQ73" s="216">
        <f t="shared" si="32"/>
        <v>0</v>
      </c>
      <c r="DR73" s="216">
        <f t="shared" si="32"/>
        <v>0</v>
      </c>
      <c r="DS73" s="216">
        <f t="shared" si="32"/>
        <v>0</v>
      </c>
      <c r="DT73" s="216">
        <f t="shared" si="32"/>
        <v>0</v>
      </c>
      <c r="DU73" s="216">
        <f t="shared" si="32"/>
        <v>0</v>
      </c>
      <c r="DV73" s="216">
        <f t="shared" si="32"/>
        <v>0</v>
      </c>
      <c r="DW73" s="216">
        <f t="shared" si="32"/>
        <v>0</v>
      </c>
      <c r="DX73" s="216">
        <f t="shared" si="32"/>
        <v>0</v>
      </c>
      <c r="DY73" s="216">
        <f t="shared" si="32"/>
        <v>0</v>
      </c>
      <c r="DZ73" s="216">
        <f t="shared" si="32"/>
        <v>0</v>
      </c>
      <c r="EA73" s="216">
        <f t="shared" si="32"/>
        <v>0</v>
      </c>
      <c r="EB73" s="216">
        <f t="shared" si="32"/>
        <v>0</v>
      </c>
      <c r="EC73" s="216">
        <f t="shared" si="32"/>
        <v>0</v>
      </c>
      <c r="ED73" s="216">
        <f t="shared" si="32"/>
        <v>0</v>
      </c>
      <c r="EE73" s="216">
        <f t="shared" si="32"/>
        <v>0</v>
      </c>
      <c r="EF73" s="216">
        <f t="shared" si="32"/>
        <v>0</v>
      </c>
      <c r="EG73" s="216">
        <f t="shared" si="32"/>
        <v>0</v>
      </c>
      <c r="EH73" s="216">
        <f t="shared" si="32"/>
        <v>0</v>
      </c>
      <c r="EI73" s="216">
        <f t="shared" si="32"/>
        <v>0</v>
      </c>
      <c r="EJ73" s="216">
        <f t="shared" si="32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5"/>
        <v>lot6</v>
      </c>
      <c r="AH74" s="216">
        <f t="shared" si="26"/>
        <v>0</v>
      </c>
      <c r="AI74" s="216">
        <f t="shared" si="26"/>
        <v>0</v>
      </c>
      <c r="AJ74" s="216">
        <f t="shared" si="26"/>
        <v>0</v>
      </c>
      <c r="AK74" s="216">
        <f t="shared" si="26"/>
        <v>0</v>
      </c>
      <c r="AL74" s="216">
        <f t="shared" si="26"/>
        <v>0</v>
      </c>
      <c r="AM74" s="216">
        <f t="shared" si="26"/>
        <v>0</v>
      </c>
      <c r="AN74" s="216">
        <f t="shared" si="26"/>
        <v>0</v>
      </c>
      <c r="AO74" s="216">
        <f t="shared" si="26"/>
        <v>0</v>
      </c>
      <c r="AP74" s="216">
        <f t="shared" si="26"/>
        <v>0</v>
      </c>
      <c r="AQ74" s="216">
        <f t="shared" si="26"/>
        <v>0</v>
      </c>
      <c r="AR74" s="216">
        <f t="shared" si="26"/>
        <v>0</v>
      </c>
      <c r="AS74" s="216">
        <f t="shared" si="26"/>
        <v>0</v>
      </c>
      <c r="AT74" s="216">
        <f t="shared" si="26"/>
        <v>0</v>
      </c>
      <c r="AU74" s="216">
        <f t="shared" si="26"/>
        <v>0</v>
      </c>
      <c r="AV74" s="216">
        <f t="shared" si="26"/>
        <v>0</v>
      </c>
      <c r="AW74" s="216">
        <f t="shared" si="26"/>
        <v>0</v>
      </c>
      <c r="AX74" s="216">
        <f t="shared" si="26"/>
        <v>0</v>
      </c>
      <c r="AY74" s="216">
        <f t="shared" si="26"/>
        <v>0</v>
      </c>
      <c r="AZ74" s="216">
        <f t="shared" si="26"/>
        <v>0</v>
      </c>
      <c r="BA74" s="216">
        <f t="shared" si="26"/>
        <v>0</v>
      </c>
      <c r="BB74" s="216">
        <f t="shared" si="26"/>
        <v>0</v>
      </c>
      <c r="BC74" s="216">
        <f t="shared" si="26"/>
        <v>0</v>
      </c>
      <c r="BD74" s="216">
        <f t="shared" si="26"/>
        <v>0</v>
      </c>
      <c r="BE74" s="216">
        <f t="shared" si="26"/>
        <v>0</v>
      </c>
      <c r="BF74" s="212"/>
      <c r="BG74" s="213"/>
      <c r="BH74" s="212">
        <f t="shared" si="27"/>
        <v>0</v>
      </c>
      <c r="BI74" s="212">
        <f t="shared" si="28"/>
        <v>0</v>
      </c>
      <c r="BJ74" s="212">
        <f t="shared" si="28"/>
        <v>0</v>
      </c>
      <c r="BK74" s="212">
        <f t="shared" si="28"/>
        <v>0</v>
      </c>
      <c r="BL74" s="212">
        <f t="shared" si="28"/>
        <v>0</v>
      </c>
      <c r="BM74" s="212">
        <f t="shared" si="28"/>
        <v>0</v>
      </c>
      <c r="BN74" s="212">
        <f t="shared" si="28"/>
        <v>0</v>
      </c>
      <c r="BO74" s="212">
        <f t="shared" si="28"/>
        <v>0</v>
      </c>
      <c r="BP74" s="212">
        <f t="shared" si="28"/>
        <v>0</v>
      </c>
      <c r="BQ74" s="212">
        <f t="shared" si="28"/>
        <v>0</v>
      </c>
      <c r="BR74" s="212">
        <f t="shared" si="28"/>
        <v>0</v>
      </c>
      <c r="BS74" s="212">
        <f t="shared" si="28"/>
        <v>0</v>
      </c>
      <c r="BT74" s="212">
        <f t="shared" si="28"/>
        <v>0</v>
      </c>
      <c r="BU74" s="212">
        <f t="shared" si="28"/>
        <v>0</v>
      </c>
      <c r="BV74" s="212">
        <f t="shared" si="28"/>
        <v>0</v>
      </c>
      <c r="BW74" s="212">
        <f t="shared" si="28"/>
        <v>0</v>
      </c>
      <c r="BX74" s="212">
        <f t="shared" si="28"/>
        <v>0</v>
      </c>
      <c r="BY74" s="212">
        <f t="shared" si="28"/>
        <v>0</v>
      </c>
      <c r="BZ74" s="212">
        <f t="shared" si="28"/>
        <v>0</v>
      </c>
      <c r="CA74" s="212">
        <f t="shared" si="28"/>
        <v>0</v>
      </c>
      <c r="CB74" s="212">
        <f t="shared" si="28"/>
        <v>0</v>
      </c>
      <c r="CC74" s="212">
        <f t="shared" si="28"/>
        <v>0</v>
      </c>
      <c r="CD74" s="212">
        <f t="shared" si="28"/>
        <v>0</v>
      </c>
      <c r="CE74" s="212">
        <f t="shared" si="28"/>
        <v>0</v>
      </c>
      <c r="CF74" s="212">
        <f t="shared" si="28"/>
        <v>0</v>
      </c>
      <c r="CG74" s="212"/>
      <c r="CH74" s="212"/>
      <c r="CI74" s="213"/>
      <c r="CJ74" s="212">
        <f t="shared" si="29"/>
        <v>0</v>
      </c>
      <c r="CK74" s="216">
        <f t="shared" si="30"/>
        <v>0</v>
      </c>
      <c r="CL74" s="216">
        <f t="shared" si="30"/>
        <v>0</v>
      </c>
      <c r="CM74" s="216">
        <f t="shared" si="30"/>
        <v>0</v>
      </c>
      <c r="CN74" s="216">
        <f t="shared" si="30"/>
        <v>0</v>
      </c>
      <c r="CO74" s="216">
        <f t="shared" si="30"/>
        <v>0</v>
      </c>
      <c r="CP74" s="216">
        <f t="shared" si="30"/>
        <v>0</v>
      </c>
      <c r="CQ74" s="216">
        <f t="shared" si="30"/>
        <v>0</v>
      </c>
      <c r="CR74" s="216">
        <f t="shared" si="30"/>
        <v>0</v>
      </c>
      <c r="CS74" s="216">
        <f t="shared" si="30"/>
        <v>0</v>
      </c>
      <c r="CT74" s="216">
        <f t="shared" si="30"/>
        <v>0</v>
      </c>
      <c r="CU74" s="216">
        <f t="shared" si="30"/>
        <v>0</v>
      </c>
      <c r="CV74" s="216">
        <f t="shared" si="30"/>
        <v>0</v>
      </c>
      <c r="CW74" s="216">
        <f t="shared" si="30"/>
        <v>0</v>
      </c>
      <c r="CX74" s="216">
        <f t="shared" si="30"/>
        <v>0</v>
      </c>
      <c r="CY74" s="216">
        <f t="shared" si="30"/>
        <v>0</v>
      </c>
      <c r="CZ74" s="216">
        <f t="shared" si="30"/>
        <v>0</v>
      </c>
      <c r="DA74" s="216">
        <f t="shared" si="30"/>
        <v>0</v>
      </c>
      <c r="DB74" s="216">
        <f t="shared" si="30"/>
        <v>0</v>
      </c>
      <c r="DC74" s="216">
        <f t="shared" si="30"/>
        <v>0</v>
      </c>
      <c r="DD74" s="216">
        <f t="shared" si="30"/>
        <v>0</v>
      </c>
      <c r="DE74" s="216">
        <f t="shared" si="30"/>
        <v>0</v>
      </c>
      <c r="DF74" s="216">
        <f t="shared" si="30"/>
        <v>0</v>
      </c>
      <c r="DG74" s="216">
        <f t="shared" si="30"/>
        <v>0</v>
      </c>
      <c r="DH74" s="216">
        <f t="shared" si="30"/>
        <v>0</v>
      </c>
      <c r="DI74" s="212"/>
      <c r="DJ74" s="212"/>
      <c r="DK74" s="213"/>
      <c r="DL74" s="212">
        <f t="shared" si="31"/>
        <v>0</v>
      </c>
      <c r="DM74" s="216">
        <f t="shared" si="32"/>
        <v>0</v>
      </c>
      <c r="DN74" s="216">
        <f t="shared" si="32"/>
        <v>0</v>
      </c>
      <c r="DO74" s="216">
        <f t="shared" si="32"/>
        <v>0</v>
      </c>
      <c r="DP74" s="216">
        <f t="shared" si="32"/>
        <v>0</v>
      </c>
      <c r="DQ74" s="216">
        <f t="shared" si="32"/>
        <v>0</v>
      </c>
      <c r="DR74" s="216">
        <f t="shared" si="32"/>
        <v>0</v>
      </c>
      <c r="DS74" s="216">
        <f t="shared" si="32"/>
        <v>0</v>
      </c>
      <c r="DT74" s="216">
        <f t="shared" si="32"/>
        <v>0</v>
      </c>
      <c r="DU74" s="216">
        <f t="shared" si="32"/>
        <v>0</v>
      </c>
      <c r="DV74" s="216">
        <f t="shared" si="32"/>
        <v>0</v>
      </c>
      <c r="DW74" s="216">
        <f t="shared" si="32"/>
        <v>0</v>
      </c>
      <c r="DX74" s="216">
        <f t="shared" si="32"/>
        <v>0</v>
      </c>
      <c r="DY74" s="216">
        <f t="shared" si="32"/>
        <v>0</v>
      </c>
      <c r="DZ74" s="216">
        <f t="shared" si="32"/>
        <v>0</v>
      </c>
      <c r="EA74" s="216">
        <f t="shared" si="32"/>
        <v>0</v>
      </c>
      <c r="EB74" s="216">
        <f t="shared" si="32"/>
        <v>0</v>
      </c>
      <c r="EC74" s="216">
        <f t="shared" si="32"/>
        <v>0</v>
      </c>
      <c r="ED74" s="216">
        <f t="shared" si="32"/>
        <v>0</v>
      </c>
      <c r="EE74" s="216">
        <f t="shared" si="32"/>
        <v>0</v>
      </c>
      <c r="EF74" s="216">
        <f t="shared" si="32"/>
        <v>0</v>
      </c>
      <c r="EG74" s="216">
        <f t="shared" si="32"/>
        <v>0</v>
      </c>
      <c r="EH74" s="216">
        <f t="shared" si="32"/>
        <v>0</v>
      </c>
      <c r="EI74" s="216">
        <f t="shared" si="32"/>
        <v>0</v>
      </c>
      <c r="EJ74" s="216">
        <f t="shared" si="32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5"/>
        <v>lot7</v>
      </c>
      <c r="AH75" s="216">
        <f t="shared" si="26"/>
        <v>0</v>
      </c>
      <c r="AI75" s="216">
        <f t="shared" si="26"/>
        <v>0</v>
      </c>
      <c r="AJ75" s="216">
        <f t="shared" si="26"/>
        <v>0</v>
      </c>
      <c r="AK75" s="216">
        <f t="shared" si="26"/>
        <v>0</v>
      </c>
      <c r="AL75" s="216">
        <f t="shared" si="26"/>
        <v>0</v>
      </c>
      <c r="AM75" s="216">
        <f t="shared" si="26"/>
        <v>0</v>
      </c>
      <c r="AN75" s="216">
        <f t="shared" si="26"/>
        <v>0</v>
      </c>
      <c r="AO75" s="216">
        <f t="shared" si="26"/>
        <v>0</v>
      </c>
      <c r="AP75" s="216">
        <f t="shared" si="26"/>
        <v>0</v>
      </c>
      <c r="AQ75" s="216">
        <f t="shared" si="26"/>
        <v>0</v>
      </c>
      <c r="AR75" s="216">
        <f t="shared" si="26"/>
        <v>0</v>
      </c>
      <c r="AS75" s="216">
        <f t="shared" si="26"/>
        <v>0</v>
      </c>
      <c r="AT75" s="216">
        <f t="shared" si="26"/>
        <v>0</v>
      </c>
      <c r="AU75" s="216">
        <f t="shared" si="26"/>
        <v>0</v>
      </c>
      <c r="AV75" s="216">
        <f t="shared" si="26"/>
        <v>0</v>
      </c>
      <c r="AW75" s="216">
        <f t="shared" si="26"/>
        <v>0</v>
      </c>
      <c r="AX75" s="216">
        <f t="shared" si="26"/>
        <v>0</v>
      </c>
      <c r="AY75" s="216">
        <f t="shared" si="26"/>
        <v>0</v>
      </c>
      <c r="AZ75" s="216">
        <f t="shared" si="26"/>
        <v>0</v>
      </c>
      <c r="BA75" s="216">
        <f t="shared" si="26"/>
        <v>0</v>
      </c>
      <c r="BB75" s="216">
        <f t="shared" si="26"/>
        <v>0</v>
      </c>
      <c r="BC75" s="216">
        <f t="shared" si="26"/>
        <v>0</v>
      </c>
      <c r="BD75" s="216">
        <f t="shared" si="26"/>
        <v>0</v>
      </c>
      <c r="BE75" s="216">
        <f t="shared" si="26"/>
        <v>0</v>
      </c>
      <c r="BF75" s="212"/>
      <c r="BG75" s="213"/>
      <c r="BH75" s="212">
        <f t="shared" si="27"/>
        <v>0</v>
      </c>
      <c r="BI75" s="212">
        <f t="shared" si="28"/>
        <v>0</v>
      </c>
      <c r="BJ75" s="212">
        <f t="shared" si="28"/>
        <v>0</v>
      </c>
      <c r="BK75" s="212">
        <f t="shared" si="28"/>
        <v>0</v>
      </c>
      <c r="BL75" s="212">
        <f t="shared" si="28"/>
        <v>0</v>
      </c>
      <c r="BM75" s="212">
        <f t="shared" si="28"/>
        <v>0</v>
      </c>
      <c r="BN75" s="212">
        <f t="shared" si="28"/>
        <v>0</v>
      </c>
      <c r="BO75" s="212">
        <f t="shared" si="28"/>
        <v>0</v>
      </c>
      <c r="BP75" s="212">
        <f t="shared" si="28"/>
        <v>0</v>
      </c>
      <c r="BQ75" s="212">
        <f t="shared" si="28"/>
        <v>0</v>
      </c>
      <c r="BR75" s="212">
        <f t="shared" si="28"/>
        <v>0</v>
      </c>
      <c r="BS75" s="212">
        <f t="shared" si="28"/>
        <v>0</v>
      </c>
      <c r="BT75" s="212">
        <f t="shared" si="28"/>
        <v>0</v>
      </c>
      <c r="BU75" s="212">
        <f t="shared" si="28"/>
        <v>0</v>
      </c>
      <c r="BV75" s="212">
        <f t="shared" si="28"/>
        <v>0</v>
      </c>
      <c r="BW75" s="212">
        <f t="shared" si="28"/>
        <v>0</v>
      </c>
      <c r="BX75" s="212">
        <f t="shared" si="28"/>
        <v>0</v>
      </c>
      <c r="BY75" s="212">
        <f t="shared" si="28"/>
        <v>0</v>
      </c>
      <c r="BZ75" s="212">
        <f t="shared" si="28"/>
        <v>0</v>
      </c>
      <c r="CA75" s="212">
        <f t="shared" si="28"/>
        <v>0</v>
      </c>
      <c r="CB75" s="212">
        <f t="shared" si="28"/>
        <v>0</v>
      </c>
      <c r="CC75" s="212">
        <f t="shared" si="28"/>
        <v>0</v>
      </c>
      <c r="CD75" s="212">
        <f t="shared" si="28"/>
        <v>0</v>
      </c>
      <c r="CE75" s="212">
        <f t="shared" si="28"/>
        <v>0</v>
      </c>
      <c r="CF75" s="212">
        <f t="shared" si="28"/>
        <v>0</v>
      </c>
      <c r="CG75" s="212"/>
      <c r="CH75" s="212"/>
      <c r="CI75" s="213"/>
      <c r="CJ75" s="212">
        <f t="shared" si="29"/>
        <v>0</v>
      </c>
      <c r="CK75" s="216">
        <f t="shared" si="30"/>
        <v>0</v>
      </c>
      <c r="CL75" s="216">
        <f t="shared" si="30"/>
        <v>0</v>
      </c>
      <c r="CM75" s="216">
        <f t="shared" si="30"/>
        <v>0</v>
      </c>
      <c r="CN75" s="216">
        <f t="shared" si="30"/>
        <v>0</v>
      </c>
      <c r="CO75" s="216">
        <f t="shared" si="30"/>
        <v>0</v>
      </c>
      <c r="CP75" s="216">
        <f t="shared" si="30"/>
        <v>0</v>
      </c>
      <c r="CQ75" s="216">
        <f t="shared" si="30"/>
        <v>0</v>
      </c>
      <c r="CR75" s="216">
        <f t="shared" si="30"/>
        <v>0</v>
      </c>
      <c r="CS75" s="216">
        <f t="shared" si="30"/>
        <v>0</v>
      </c>
      <c r="CT75" s="216">
        <f t="shared" si="30"/>
        <v>0</v>
      </c>
      <c r="CU75" s="216">
        <f t="shared" si="30"/>
        <v>0</v>
      </c>
      <c r="CV75" s="216">
        <f t="shared" si="30"/>
        <v>0</v>
      </c>
      <c r="CW75" s="216">
        <f t="shared" si="30"/>
        <v>0</v>
      </c>
      <c r="CX75" s="216">
        <f t="shared" si="30"/>
        <v>0</v>
      </c>
      <c r="CY75" s="216">
        <f t="shared" si="30"/>
        <v>0</v>
      </c>
      <c r="CZ75" s="216">
        <f t="shared" si="30"/>
        <v>0</v>
      </c>
      <c r="DA75" s="216">
        <f t="shared" si="30"/>
        <v>0</v>
      </c>
      <c r="DB75" s="216">
        <f t="shared" si="30"/>
        <v>0</v>
      </c>
      <c r="DC75" s="216">
        <f t="shared" si="30"/>
        <v>0</v>
      </c>
      <c r="DD75" s="216">
        <f t="shared" si="30"/>
        <v>0</v>
      </c>
      <c r="DE75" s="216">
        <f t="shared" si="30"/>
        <v>0</v>
      </c>
      <c r="DF75" s="216">
        <f t="shared" si="30"/>
        <v>0</v>
      </c>
      <c r="DG75" s="216">
        <f t="shared" si="30"/>
        <v>0</v>
      </c>
      <c r="DH75" s="216">
        <f t="shared" si="30"/>
        <v>0</v>
      </c>
      <c r="DI75" s="212"/>
      <c r="DJ75" s="212"/>
      <c r="DK75" s="213"/>
      <c r="DL75" s="212">
        <f t="shared" si="31"/>
        <v>0</v>
      </c>
      <c r="DM75" s="216">
        <f t="shared" si="32"/>
        <v>0</v>
      </c>
      <c r="DN75" s="216">
        <f t="shared" si="32"/>
        <v>0</v>
      </c>
      <c r="DO75" s="216">
        <f t="shared" si="32"/>
        <v>0</v>
      </c>
      <c r="DP75" s="216">
        <f t="shared" si="32"/>
        <v>0</v>
      </c>
      <c r="DQ75" s="216">
        <f t="shared" si="32"/>
        <v>0</v>
      </c>
      <c r="DR75" s="216">
        <f t="shared" si="32"/>
        <v>0</v>
      </c>
      <c r="DS75" s="216">
        <f t="shared" si="32"/>
        <v>0</v>
      </c>
      <c r="DT75" s="216">
        <f t="shared" si="32"/>
        <v>0</v>
      </c>
      <c r="DU75" s="216">
        <f t="shared" si="32"/>
        <v>0</v>
      </c>
      <c r="DV75" s="216">
        <f t="shared" si="32"/>
        <v>0</v>
      </c>
      <c r="DW75" s="216">
        <f t="shared" si="32"/>
        <v>0</v>
      </c>
      <c r="DX75" s="216">
        <f t="shared" si="32"/>
        <v>0</v>
      </c>
      <c r="DY75" s="216">
        <f t="shared" si="32"/>
        <v>0</v>
      </c>
      <c r="DZ75" s="216">
        <f t="shared" si="32"/>
        <v>0</v>
      </c>
      <c r="EA75" s="216">
        <f t="shared" si="32"/>
        <v>0</v>
      </c>
      <c r="EB75" s="216">
        <f t="shared" si="32"/>
        <v>0</v>
      </c>
      <c r="EC75" s="216">
        <f t="shared" si="32"/>
        <v>0</v>
      </c>
      <c r="ED75" s="216">
        <f t="shared" si="32"/>
        <v>0</v>
      </c>
      <c r="EE75" s="216">
        <f t="shared" si="32"/>
        <v>0</v>
      </c>
      <c r="EF75" s="216">
        <f t="shared" si="32"/>
        <v>0</v>
      </c>
      <c r="EG75" s="216">
        <f t="shared" si="32"/>
        <v>0</v>
      </c>
      <c r="EH75" s="216">
        <f t="shared" si="32"/>
        <v>0</v>
      </c>
      <c r="EI75" s="216">
        <f t="shared" si="32"/>
        <v>0</v>
      </c>
      <c r="EJ75" s="216">
        <f t="shared" si="32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5"/>
        <v>lot8</v>
      </c>
      <c r="AH76" s="216">
        <f t="shared" si="26"/>
        <v>0</v>
      </c>
      <c r="AI76" s="216">
        <f t="shared" si="26"/>
        <v>0</v>
      </c>
      <c r="AJ76" s="216">
        <f t="shared" si="26"/>
        <v>0</v>
      </c>
      <c r="AK76" s="216">
        <f t="shared" si="26"/>
        <v>0</v>
      </c>
      <c r="AL76" s="216">
        <f t="shared" si="26"/>
        <v>0</v>
      </c>
      <c r="AM76" s="216">
        <f t="shared" si="26"/>
        <v>0</v>
      </c>
      <c r="AN76" s="216">
        <f t="shared" si="26"/>
        <v>0</v>
      </c>
      <c r="AO76" s="216">
        <f t="shared" si="26"/>
        <v>0</v>
      </c>
      <c r="AP76" s="216">
        <f t="shared" si="26"/>
        <v>0</v>
      </c>
      <c r="AQ76" s="216">
        <f t="shared" si="26"/>
        <v>0</v>
      </c>
      <c r="AR76" s="216">
        <f t="shared" si="26"/>
        <v>0</v>
      </c>
      <c r="AS76" s="216">
        <f t="shared" si="26"/>
        <v>0</v>
      </c>
      <c r="AT76" s="216">
        <f t="shared" si="26"/>
        <v>0</v>
      </c>
      <c r="AU76" s="216">
        <f t="shared" si="26"/>
        <v>0</v>
      </c>
      <c r="AV76" s="216">
        <f t="shared" si="26"/>
        <v>0</v>
      </c>
      <c r="AW76" s="216">
        <f t="shared" si="26"/>
        <v>0</v>
      </c>
      <c r="AX76" s="216">
        <f t="shared" si="26"/>
        <v>0</v>
      </c>
      <c r="AY76" s="216">
        <f t="shared" si="26"/>
        <v>0</v>
      </c>
      <c r="AZ76" s="216">
        <f t="shared" si="26"/>
        <v>0</v>
      </c>
      <c r="BA76" s="216">
        <f t="shared" si="26"/>
        <v>0</v>
      </c>
      <c r="BB76" s="216">
        <f t="shared" si="26"/>
        <v>0</v>
      </c>
      <c r="BC76" s="216">
        <f t="shared" si="26"/>
        <v>0</v>
      </c>
      <c r="BD76" s="216">
        <f t="shared" si="26"/>
        <v>0</v>
      </c>
      <c r="BE76" s="216">
        <f t="shared" si="26"/>
        <v>0</v>
      </c>
      <c r="BF76" s="212"/>
      <c r="BG76" s="213"/>
      <c r="BH76" s="212">
        <f t="shared" si="27"/>
        <v>0</v>
      </c>
      <c r="BI76" s="212">
        <f t="shared" si="28"/>
        <v>0</v>
      </c>
      <c r="BJ76" s="212">
        <f t="shared" si="28"/>
        <v>0</v>
      </c>
      <c r="BK76" s="212">
        <f t="shared" si="28"/>
        <v>0</v>
      </c>
      <c r="BL76" s="212">
        <f t="shared" si="28"/>
        <v>0</v>
      </c>
      <c r="BM76" s="212">
        <f t="shared" si="28"/>
        <v>0</v>
      </c>
      <c r="BN76" s="212">
        <f t="shared" si="28"/>
        <v>0</v>
      </c>
      <c r="BO76" s="212">
        <f t="shared" si="28"/>
        <v>0</v>
      </c>
      <c r="BP76" s="212">
        <f t="shared" si="28"/>
        <v>0</v>
      </c>
      <c r="BQ76" s="212">
        <f t="shared" si="28"/>
        <v>0</v>
      </c>
      <c r="BR76" s="212">
        <f t="shared" si="28"/>
        <v>0</v>
      </c>
      <c r="BS76" s="212">
        <f t="shared" si="28"/>
        <v>0</v>
      </c>
      <c r="BT76" s="212">
        <f t="shared" si="28"/>
        <v>0</v>
      </c>
      <c r="BU76" s="212">
        <f t="shared" si="28"/>
        <v>0</v>
      </c>
      <c r="BV76" s="212">
        <f t="shared" si="28"/>
        <v>0</v>
      </c>
      <c r="BW76" s="212">
        <f t="shared" si="28"/>
        <v>0</v>
      </c>
      <c r="BX76" s="212">
        <f t="shared" si="28"/>
        <v>0</v>
      </c>
      <c r="BY76" s="212">
        <f t="shared" si="28"/>
        <v>0</v>
      </c>
      <c r="BZ76" s="212">
        <f t="shared" si="28"/>
        <v>0</v>
      </c>
      <c r="CA76" s="212">
        <f t="shared" si="28"/>
        <v>0</v>
      </c>
      <c r="CB76" s="212">
        <f t="shared" si="28"/>
        <v>0</v>
      </c>
      <c r="CC76" s="212">
        <f t="shared" si="28"/>
        <v>0</v>
      </c>
      <c r="CD76" s="212">
        <f t="shared" si="28"/>
        <v>0</v>
      </c>
      <c r="CE76" s="212">
        <f t="shared" si="28"/>
        <v>0</v>
      </c>
      <c r="CF76" s="212">
        <f t="shared" si="28"/>
        <v>0</v>
      </c>
      <c r="CG76" s="212"/>
      <c r="CH76" s="212"/>
      <c r="CI76" s="213"/>
      <c r="CJ76" s="212">
        <f t="shared" si="29"/>
        <v>0</v>
      </c>
      <c r="CK76" s="216">
        <f t="shared" si="30"/>
        <v>0</v>
      </c>
      <c r="CL76" s="216">
        <f t="shared" si="30"/>
        <v>0</v>
      </c>
      <c r="CM76" s="216">
        <f t="shared" si="30"/>
        <v>0</v>
      </c>
      <c r="CN76" s="216">
        <f t="shared" si="30"/>
        <v>0</v>
      </c>
      <c r="CO76" s="216">
        <f t="shared" si="30"/>
        <v>0</v>
      </c>
      <c r="CP76" s="216">
        <f t="shared" si="30"/>
        <v>0</v>
      </c>
      <c r="CQ76" s="216">
        <f t="shared" si="30"/>
        <v>0</v>
      </c>
      <c r="CR76" s="216">
        <f t="shared" si="30"/>
        <v>0</v>
      </c>
      <c r="CS76" s="216">
        <f t="shared" si="30"/>
        <v>0</v>
      </c>
      <c r="CT76" s="216">
        <f t="shared" si="30"/>
        <v>0</v>
      </c>
      <c r="CU76" s="216">
        <f t="shared" si="30"/>
        <v>0</v>
      </c>
      <c r="CV76" s="216">
        <f t="shared" si="30"/>
        <v>0</v>
      </c>
      <c r="CW76" s="216">
        <f t="shared" si="30"/>
        <v>0</v>
      </c>
      <c r="CX76" s="216">
        <f t="shared" si="30"/>
        <v>0</v>
      </c>
      <c r="CY76" s="216">
        <f t="shared" si="30"/>
        <v>0</v>
      </c>
      <c r="CZ76" s="216">
        <f t="shared" si="30"/>
        <v>0</v>
      </c>
      <c r="DA76" s="216">
        <f t="shared" si="30"/>
        <v>0</v>
      </c>
      <c r="DB76" s="216">
        <f t="shared" si="30"/>
        <v>0</v>
      </c>
      <c r="DC76" s="216">
        <f t="shared" si="30"/>
        <v>0</v>
      </c>
      <c r="DD76" s="216">
        <f t="shared" si="30"/>
        <v>0</v>
      </c>
      <c r="DE76" s="216">
        <f t="shared" si="30"/>
        <v>0</v>
      </c>
      <c r="DF76" s="216">
        <f t="shared" si="30"/>
        <v>0</v>
      </c>
      <c r="DG76" s="216">
        <f t="shared" si="30"/>
        <v>0</v>
      </c>
      <c r="DH76" s="216">
        <f t="shared" si="30"/>
        <v>0</v>
      </c>
      <c r="DI76" s="212"/>
      <c r="DJ76" s="212"/>
      <c r="DK76" s="213"/>
      <c r="DL76" s="212">
        <f t="shared" si="31"/>
        <v>0</v>
      </c>
      <c r="DM76" s="216">
        <f t="shared" si="32"/>
        <v>0</v>
      </c>
      <c r="DN76" s="216">
        <f t="shared" si="32"/>
        <v>0</v>
      </c>
      <c r="DO76" s="216">
        <f t="shared" si="32"/>
        <v>0</v>
      </c>
      <c r="DP76" s="216">
        <f t="shared" si="32"/>
        <v>0</v>
      </c>
      <c r="DQ76" s="216">
        <f t="shared" si="32"/>
        <v>0</v>
      </c>
      <c r="DR76" s="216">
        <f t="shared" si="32"/>
        <v>0</v>
      </c>
      <c r="DS76" s="216">
        <f t="shared" si="32"/>
        <v>0</v>
      </c>
      <c r="DT76" s="216">
        <f t="shared" si="32"/>
        <v>0</v>
      </c>
      <c r="DU76" s="216">
        <f t="shared" si="32"/>
        <v>0</v>
      </c>
      <c r="DV76" s="216">
        <f t="shared" si="32"/>
        <v>0</v>
      </c>
      <c r="DW76" s="216">
        <f t="shared" si="32"/>
        <v>0</v>
      </c>
      <c r="DX76" s="216">
        <f t="shared" si="32"/>
        <v>0</v>
      </c>
      <c r="DY76" s="216">
        <f t="shared" si="32"/>
        <v>0</v>
      </c>
      <c r="DZ76" s="216">
        <f t="shared" si="32"/>
        <v>0</v>
      </c>
      <c r="EA76" s="216">
        <f t="shared" si="32"/>
        <v>0</v>
      </c>
      <c r="EB76" s="216">
        <f t="shared" si="32"/>
        <v>0</v>
      </c>
      <c r="EC76" s="216">
        <f t="shared" si="32"/>
        <v>0</v>
      </c>
      <c r="ED76" s="216">
        <f t="shared" si="32"/>
        <v>0</v>
      </c>
      <c r="EE76" s="216">
        <f t="shared" si="32"/>
        <v>0</v>
      </c>
      <c r="EF76" s="216">
        <f t="shared" si="32"/>
        <v>0</v>
      </c>
      <c r="EG76" s="216">
        <f t="shared" si="32"/>
        <v>0</v>
      </c>
      <c r="EH76" s="216">
        <f t="shared" si="32"/>
        <v>0</v>
      </c>
      <c r="EI76" s="216">
        <f t="shared" si="32"/>
        <v>0</v>
      </c>
      <c r="EJ76" s="216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5"/>
        <v>lot9</v>
      </c>
      <c r="AH77" s="216">
        <f t="shared" si="26"/>
        <v>0</v>
      </c>
      <c r="AI77" s="216">
        <f t="shared" si="26"/>
        <v>0</v>
      </c>
      <c r="AJ77" s="216">
        <f t="shared" si="26"/>
        <v>0</v>
      </c>
      <c r="AK77" s="216">
        <f t="shared" si="26"/>
        <v>0</v>
      </c>
      <c r="AL77" s="216">
        <f t="shared" si="26"/>
        <v>0</v>
      </c>
      <c r="AM77" s="216">
        <f t="shared" si="26"/>
        <v>0</v>
      </c>
      <c r="AN77" s="216">
        <f t="shared" si="26"/>
        <v>0</v>
      </c>
      <c r="AO77" s="216">
        <f t="shared" si="26"/>
        <v>0</v>
      </c>
      <c r="AP77" s="216">
        <f t="shared" si="26"/>
        <v>0</v>
      </c>
      <c r="AQ77" s="216">
        <f t="shared" si="26"/>
        <v>0</v>
      </c>
      <c r="AR77" s="216">
        <f t="shared" si="26"/>
        <v>0</v>
      </c>
      <c r="AS77" s="216">
        <f t="shared" si="26"/>
        <v>0</v>
      </c>
      <c r="AT77" s="216">
        <f t="shared" si="26"/>
        <v>0</v>
      </c>
      <c r="AU77" s="216">
        <f t="shared" si="26"/>
        <v>0</v>
      </c>
      <c r="AV77" s="216">
        <f t="shared" si="26"/>
        <v>0</v>
      </c>
      <c r="AW77" s="216">
        <f t="shared" si="26"/>
        <v>0</v>
      </c>
      <c r="AX77" s="216">
        <f t="shared" si="26"/>
        <v>0</v>
      </c>
      <c r="AY77" s="216">
        <f t="shared" si="26"/>
        <v>0</v>
      </c>
      <c r="AZ77" s="216">
        <f t="shared" si="26"/>
        <v>0</v>
      </c>
      <c r="BA77" s="216">
        <f t="shared" si="26"/>
        <v>0</v>
      </c>
      <c r="BB77" s="216">
        <f t="shared" si="26"/>
        <v>0</v>
      </c>
      <c r="BC77" s="216">
        <f t="shared" si="26"/>
        <v>0</v>
      </c>
      <c r="BD77" s="216">
        <f t="shared" si="26"/>
        <v>0</v>
      </c>
      <c r="BE77" s="216">
        <f t="shared" si="26"/>
        <v>0</v>
      </c>
      <c r="BF77" s="212"/>
      <c r="BG77" s="213"/>
      <c r="BH77" s="212">
        <f t="shared" si="27"/>
        <v>0</v>
      </c>
      <c r="BI77" s="212">
        <f t="shared" si="28"/>
        <v>0</v>
      </c>
      <c r="BJ77" s="212">
        <f t="shared" si="28"/>
        <v>0</v>
      </c>
      <c r="BK77" s="212">
        <f t="shared" si="28"/>
        <v>0</v>
      </c>
      <c r="BL77" s="212">
        <f t="shared" si="28"/>
        <v>0</v>
      </c>
      <c r="BM77" s="212">
        <f t="shared" si="28"/>
        <v>0</v>
      </c>
      <c r="BN77" s="212">
        <f t="shared" si="28"/>
        <v>0</v>
      </c>
      <c r="BO77" s="212">
        <f t="shared" si="28"/>
        <v>0</v>
      </c>
      <c r="BP77" s="212">
        <f t="shared" si="28"/>
        <v>0</v>
      </c>
      <c r="BQ77" s="212">
        <f t="shared" si="28"/>
        <v>0</v>
      </c>
      <c r="BR77" s="212">
        <f t="shared" si="28"/>
        <v>0</v>
      </c>
      <c r="BS77" s="212">
        <f t="shared" si="28"/>
        <v>0</v>
      </c>
      <c r="BT77" s="212">
        <f t="shared" si="28"/>
        <v>0</v>
      </c>
      <c r="BU77" s="212">
        <f t="shared" si="28"/>
        <v>0</v>
      </c>
      <c r="BV77" s="212">
        <f t="shared" si="28"/>
        <v>0</v>
      </c>
      <c r="BW77" s="212">
        <f t="shared" si="28"/>
        <v>0</v>
      </c>
      <c r="BX77" s="212">
        <f t="shared" si="28"/>
        <v>0</v>
      </c>
      <c r="BY77" s="212">
        <f t="shared" si="28"/>
        <v>0</v>
      </c>
      <c r="BZ77" s="212">
        <f t="shared" si="28"/>
        <v>0</v>
      </c>
      <c r="CA77" s="212">
        <f t="shared" si="28"/>
        <v>0</v>
      </c>
      <c r="CB77" s="212">
        <f t="shared" si="28"/>
        <v>0</v>
      </c>
      <c r="CC77" s="212">
        <f t="shared" si="28"/>
        <v>0</v>
      </c>
      <c r="CD77" s="212">
        <f t="shared" si="28"/>
        <v>0</v>
      </c>
      <c r="CE77" s="212">
        <f t="shared" si="28"/>
        <v>0</v>
      </c>
      <c r="CF77" s="212">
        <f t="shared" si="28"/>
        <v>0</v>
      </c>
      <c r="CG77" s="212"/>
      <c r="CH77" s="212"/>
      <c r="CI77" s="213"/>
      <c r="CJ77" s="212">
        <f t="shared" si="29"/>
        <v>0</v>
      </c>
      <c r="CK77" s="216">
        <f t="shared" si="30"/>
        <v>0</v>
      </c>
      <c r="CL77" s="216">
        <f t="shared" si="30"/>
        <v>0</v>
      </c>
      <c r="CM77" s="216">
        <f t="shared" si="30"/>
        <v>0</v>
      </c>
      <c r="CN77" s="216">
        <f t="shared" si="30"/>
        <v>0</v>
      </c>
      <c r="CO77" s="216">
        <f t="shared" si="30"/>
        <v>0</v>
      </c>
      <c r="CP77" s="216">
        <f t="shared" si="30"/>
        <v>0</v>
      </c>
      <c r="CQ77" s="216">
        <f t="shared" si="30"/>
        <v>0</v>
      </c>
      <c r="CR77" s="216">
        <f t="shared" si="30"/>
        <v>0</v>
      </c>
      <c r="CS77" s="216">
        <f t="shared" si="30"/>
        <v>0</v>
      </c>
      <c r="CT77" s="216">
        <f t="shared" si="30"/>
        <v>0</v>
      </c>
      <c r="CU77" s="216">
        <f t="shared" si="30"/>
        <v>0</v>
      </c>
      <c r="CV77" s="216">
        <f t="shared" si="30"/>
        <v>0</v>
      </c>
      <c r="CW77" s="216">
        <f t="shared" si="30"/>
        <v>0</v>
      </c>
      <c r="CX77" s="216">
        <f t="shared" si="30"/>
        <v>0</v>
      </c>
      <c r="CY77" s="216">
        <f t="shared" si="30"/>
        <v>0</v>
      </c>
      <c r="CZ77" s="216">
        <f t="shared" si="30"/>
        <v>0</v>
      </c>
      <c r="DA77" s="216">
        <f t="shared" si="30"/>
        <v>0</v>
      </c>
      <c r="DB77" s="216">
        <f t="shared" si="30"/>
        <v>0</v>
      </c>
      <c r="DC77" s="216">
        <f t="shared" si="30"/>
        <v>0</v>
      </c>
      <c r="DD77" s="216">
        <f t="shared" si="30"/>
        <v>0</v>
      </c>
      <c r="DE77" s="216">
        <f t="shared" si="30"/>
        <v>0</v>
      </c>
      <c r="DF77" s="216">
        <f t="shared" si="30"/>
        <v>0</v>
      </c>
      <c r="DG77" s="216">
        <f t="shared" si="30"/>
        <v>0</v>
      </c>
      <c r="DH77" s="216">
        <f t="shared" si="30"/>
        <v>0</v>
      </c>
      <c r="DI77" s="212"/>
      <c r="DJ77" s="212"/>
      <c r="DK77" s="213"/>
      <c r="DL77" s="212">
        <f t="shared" si="31"/>
        <v>0</v>
      </c>
      <c r="DM77" s="216">
        <f t="shared" si="32"/>
        <v>0</v>
      </c>
      <c r="DN77" s="216">
        <f t="shared" si="32"/>
        <v>0</v>
      </c>
      <c r="DO77" s="216">
        <f t="shared" si="32"/>
        <v>0</v>
      </c>
      <c r="DP77" s="216">
        <f t="shared" si="32"/>
        <v>0</v>
      </c>
      <c r="DQ77" s="216">
        <f t="shared" si="32"/>
        <v>0</v>
      </c>
      <c r="DR77" s="216">
        <f t="shared" si="32"/>
        <v>0</v>
      </c>
      <c r="DS77" s="216">
        <f t="shared" si="32"/>
        <v>0</v>
      </c>
      <c r="DT77" s="216">
        <f t="shared" si="32"/>
        <v>0</v>
      </c>
      <c r="DU77" s="216">
        <f t="shared" si="32"/>
        <v>0</v>
      </c>
      <c r="DV77" s="216">
        <f t="shared" si="32"/>
        <v>0</v>
      </c>
      <c r="DW77" s="216">
        <f t="shared" si="32"/>
        <v>0</v>
      </c>
      <c r="DX77" s="216">
        <f t="shared" si="32"/>
        <v>0</v>
      </c>
      <c r="DY77" s="216">
        <f t="shared" si="32"/>
        <v>0</v>
      </c>
      <c r="DZ77" s="216">
        <f t="shared" si="32"/>
        <v>0</v>
      </c>
      <c r="EA77" s="216">
        <f t="shared" si="32"/>
        <v>0</v>
      </c>
      <c r="EB77" s="216">
        <f t="shared" si="32"/>
        <v>0</v>
      </c>
      <c r="EC77" s="216">
        <f t="shared" si="32"/>
        <v>0</v>
      </c>
      <c r="ED77" s="216">
        <f t="shared" si="32"/>
        <v>0</v>
      </c>
      <c r="EE77" s="216">
        <f t="shared" si="32"/>
        <v>0</v>
      </c>
      <c r="EF77" s="216">
        <f t="shared" si="32"/>
        <v>0</v>
      </c>
      <c r="EG77" s="216">
        <f t="shared" si="32"/>
        <v>0</v>
      </c>
      <c r="EH77" s="216">
        <f t="shared" si="32"/>
        <v>0</v>
      </c>
      <c r="EI77" s="216">
        <f t="shared" si="32"/>
        <v>0</v>
      </c>
      <c r="EJ77" s="216">
        <f t="shared" si="32"/>
        <v>0</v>
      </c>
    </row>
    <row r="78" spans="1:143" x14ac:dyDescent="0.25">
      <c r="A78" s="220" t="s">
        <v>1039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5"/>
        <v>lot10</v>
      </c>
      <c r="AH78" s="216">
        <f t="shared" si="26"/>
        <v>0</v>
      </c>
      <c r="AI78" s="216">
        <f t="shared" si="26"/>
        <v>0</v>
      </c>
      <c r="AJ78" s="216">
        <f t="shared" si="26"/>
        <v>0</v>
      </c>
      <c r="AK78" s="216">
        <f t="shared" si="26"/>
        <v>0</v>
      </c>
      <c r="AL78" s="216">
        <f t="shared" si="26"/>
        <v>0</v>
      </c>
      <c r="AM78" s="216">
        <f t="shared" si="26"/>
        <v>0</v>
      </c>
      <c r="AN78" s="216">
        <f t="shared" si="26"/>
        <v>0</v>
      </c>
      <c r="AO78" s="216">
        <f t="shared" si="26"/>
        <v>0</v>
      </c>
      <c r="AP78" s="216">
        <f t="shared" si="26"/>
        <v>0</v>
      </c>
      <c r="AQ78" s="216">
        <f t="shared" si="26"/>
        <v>0</v>
      </c>
      <c r="AR78" s="216">
        <f t="shared" si="26"/>
        <v>0</v>
      </c>
      <c r="AS78" s="216">
        <f t="shared" si="26"/>
        <v>0</v>
      </c>
      <c r="AT78" s="216">
        <f t="shared" si="26"/>
        <v>0</v>
      </c>
      <c r="AU78" s="216">
        <f t="shared" si="26"/>
        <v>0</v>
      </c>
      <c r="AV78" s="216">
        <f t="shared" si="26"/>
        <v>0</v>
      </c>
      <c r="AW78" s="216">
        <f t="shared" si="26"/>
        <v>0</v>
      </c>
      <c r="AX78" s="216">
        <f t="shared" si="26"/>
        <v>0</v>
      </c>
      <c r="AY78" s="216">
        <f t="shared" si="26"/>
        <v>0</v>
      </c>
      <c r="AZ78" s="216">
        <f t="shared" si="26"/>
        <v>0</v>
      </c>
      <c r="BA78" s="216">
        <f t="shared" si="26"/>
        <v>0</v>
      </c>
      <c r="BB78" s="216">
        <f t="shared" si="26"/>
        <v>0</v>
      </c>
      <c r="BC78" s="216">
        <f t="shared" si="26"/>
        <v>0</v>
      </c>
      <c r="BD78" s="216">
        <f t="shared" si="26"/>
        <v>0</v>
      </c>
      <c r="BE78" s="216">
        <f t="shared" si="26"/>
        <v>0</v>
      </c>
      <c r="BF78" s="212"/>
      <c r="BG78" s="213"/>
      <c r="BH78" s="212">
        <f t="shared" si="27"/>
        <v>0</v>
      </c>
      <c r="BI78" s="212">
        <f t="shared" si="28"/>
        <v>0</v>
      </c>
      <c r="BJ78" s="212">
        <f t="shared" si="28"/>
        <v>0</v>
      </c>
      <c r="BK78" s="212">
        <f t="shared" si="28"/>
        <v>0</v>
      </c>
      <c r="BL78" s="212">
        <f t="shared" si="28"/>
        <v>0</v>
      </c>
      <c r="BM78" s="212">
        <f t="shared" si="28"/>
        <v>0</v>
      </c>
      <c r="BN78" s="212">
        <f t="shared" si="28"/>
        <v>0</v>
      </c>
      <c r="BO78" s="212">
        <f t="shared" si="28"/>
        <v>0</v>
      </c>
      <c r="BP78" s="212">
        <f t="shared" si="28"/>
        <v>0</v>
      </c>
      <c r="BQ78" s="212">
        <f t="shared" si="28"/>
        <v>0</v>
      </c>
      <c r="BR78" s="212">
        <f t="shared" si="28"/>
        <v>0</v>
      </c>
      <c r="BS78" s="212">
        <f t="shared" si="28"/>
        <v>0</v>
      </c>
      <c r="BT78" s="212">
        <f t="shared" si="28"/>
        <v>0</v>
      </c>
      <c r="BU78" s="212">
        <f t="shared" si="28"/>
        <v>0</v>
      </c>
      <c r="BV78" s="212">
        <f t="shared" si="28"/>
        <v>0</v>
      </c>
      <c r="BW78" s="212">
        <f t="shared" si="28"/>
        <v>0</v>
      </c>
      <c r="BX78" s="212">
        <f t="shared" si="28"/>
        <v>0</v>
      </c>
      <c r="BY78" s="212">
        <f t="shared" si="28"/>
        <v>0</v>
      </c>
      <c r="BZ78" s="212">
        <f t="shared" si="28"/>
        <v>0</v>
      </c>
      <c r="CA78" s="212">
        <f t="shared" si="28"/>
        <v>0</v>
      </c>
      <c r="CB78" s="212">
        <f t="shared" si="28"/>
        <v>0</v>
      </c>
      <c r="CC78" s="212">
        <f t="shared" si="28"/>
        <v>0</v>
      </c>
      <c r="CD78" s="212">
        <f t="shared" si="28"/>
        <v>0</v>
      </c>
      <c r="CE78" s="212">
        <f t="shared" si="28"/>
        <v>0</v>
      </c>
      <c r="CF78" s="212">
        <f t="shared" si="28"/>
        <v>0</v>
      </c>
      <c r="CG78" s="212"/>
      <c r="CH78" s="212"/>
      <c r="CI78" s="213"/>
      <c r="CJ78" s="212">
        <f t="shared" si="29"/>
        <v>0</v>
      </c>
      <c r="CK78" s="216">
        <f t="shared" si="30"/>
        <v>0</v>
      </c>
      <c r="CL78" s="216">
        <f t="shared" si="30"/>
        <v>0</v>
      </c>
      <c r="CM78" s="216">
        <f t="shared" si="30"/>
        <v>0</v>
      </c>
      <c r="CN78" s="216">
        <f t="shared" si="30"/>
        <v>0</v>
      </c>
      <c r="CO78" s="216">
        <f t="shared" si="30"/>
        <v>0</v>
      </c>
      <c r="CP78" s="216">
        <f t="shared" si="30"/>
        <v>0</v>
      </c>
      <c r="CQ78" s="216">
        <f t="shared" si="30"/>
        <v>0</v>
      </c>
      <c r="CR78" s="216">
        <f t="shared" si="30"/>
        <v>0</v>
      </c>
      <c r="CS78" s="216">
        <f t="shared" si="30"/>
        <v>0</v>
      </c>
      <c r="CT78" s="216">
        <f t="shared" si="30"/>
        <v>0</v>
      </c>
      <c r="CU78" s="216">
        <f t="shared" si="30"/>
        <v>0</v>
      </c>
      <c r="CV78" s="216">
        <f t="shared" si="30"/>
        <v>0</v>
      </c>
      <c r="CW78" s="216">
        <f t="shared" si="30"/>
        <v>0</v>
      </c>
      <c r="CX78" s="216">
        <f t="shared" si="30"/>
        <v>0</v>
      </c>
      <c r="CY78" s="216">
        <f t="shared" si="30"/>
        <v>0</v>
      </c>
      <c r="CZ78" s="216">
        <f t="shared" si="30"/>
        <v>0</v>
      </c>
      <c r="DA78" s="216">
        <f t="shared" si="30"/>
        <v>0</v>
      </c>
      <c r="DB78" s="216">
        <f t="shared" si="30"/>
        <v>0</v>
      </c>
      <c r="DC78" s="216">
        <f t="shared" si="30"/>
        <v>0</v>
      </c>
      <c r="DD78" s="216">
        <f t="shared" si="30"/>
        <v>0</v>
      </c>
      <c r="DE78" s="216">
        <f t="shared" si="30"/>
        <v>0</v>
      </c>
      <c r="DF78" s="216">
        <f t="shared" si="30"/>
        <v>0</v>
      </c>
      <c r="DG78" s="216">
        <f t="shared" si="30"/>
        <v>0</v>
      </c>
      <c r="DH78" s="216">
        <f t="shared" si="30"/>
        <v>0</v>
      </c>
      <c r="DI78" s="212"/>
      <c r="DJ78" s="212"/>
      <c r="DK78" s="213"/>
      <c r="DL78" s="212">
        <f t="shared" si="31"/>
        <v>0</v>
      </c>
      <c r="DM78" s="216">
        <f t="shared" si="32"/>
        <v>0</v>
      </c>
      <c r="DN78" s="216">
        <f t="shared" si="32"/>
        <v>0</v>
      </c>
      <c r="DO78" s="216">
        <f t="shared" si="32"/>
        <v>0</v>
      </c>
      <c r="DP78" s="216">
        <f t="shared" si="32"/>
        <v>0</v>
      </c>
      <c r="DQ78" s="216">
        <f t="shared" si="32"/>
        <v>0</v>
      </c>
      <c r="DR78" s="216">
        <f t="shared" si="32"/>
        <v>0</v>
      </c>
      <c r="DS78" s="216">
        <f t="shared" si="32"/>
        <v>0</v>
      </c>
      <c r="DT78" s="216">
        <f t="shared" si="32"/>
        <v>0</v>
      </c>
      <c r="DU78" s="216">
        <f t="shared" si="32"/>
        <v>0</v>
      </c>
      <c r="DV78" s="216">
        <f t="shared" si="32"/>
        <v>0</v>
      </c>
      <c r="DW78" s="216">
        <f t="shared" si="32"/>
        <v>0</v>
      </c>
      <c r="DX78" s="216">
        <f t="shared" si="32"/>
        <v>0</v>
      </c>
      <c r="DY78" s="216">
        <f t="shared" si="32"/>
        <v>0</v>
      </c>
      <c r="DZ78" s="216">
        <f t="shared" si="32"/>
        <v>0</v>
      </c>
      <c r="EA78" s="216">
        <f t="shared" si="32"/>
        <v>0</v>
      </c>
      <c r="EB78" s="216">
        <f t="shared" si="32"/>
        <v>0</v>
      </c>
      <c r="EC78" s="216">
        <f t="shared" si="32"/>
        <v>0</v>
      </c>
      <c r="ED78" s="216">
        <f t="shared" si="32"/>
        <v>0</v>
      </c>
      <c r="EE78" s="216">
        <f t="shared" si="32"/>
        <v>0</v>
      </c>
      <c r="EF78" s="216">
        <f t="shared" si="32"/>
        <v>0</v>
      </c>
      <c r="EG78" s="216">
        <f t="shared" si="32"/>
        <v>0</v>
      </c>
      <c r="EH78" s="216">
        <f t="shared" si="32"/>
        <v>0</v>
      </c>
      <c r="EI78" s="216">
        <f t="shared" si="32"/>
        <v>0</v>
      </c>
      <c r="EJ78" s="216">
        <f t="shared" si="32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1040</v>
      </c>
      <c r="AG79" s="214">
        <f>SUM(AH69:BE78)</f>
        <v>0</v>
      </c>
      <c r="AH79" s="212" t="s">
        <v>1041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1040</v>
      </c>
      <c r="BH79" s="212">
        <f>SUM(BI69:CF78)</f>
        <v>0</v>
      </c>
      <c r="BI79" s="212" t="s">
        <v>1041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1040</v>
      </c>
      <c r="CJ79" s="212">
        <f>SUM(CK69:DH78)</f>
        <v>0</v>
      </c>
      <c r="CK79" s="212" t="s">
        <v>1041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1040</v>
      </c>
      <c r="DL79" s="212">
        <f>SUM(DM69:EJ78)</f>
        <v>0</v>
      </c>
      <c r="DM79" s="212" t="s">
        <v>1041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1042</v>
      </c>
      <c r="D80" s="33" t="s">
        <v>1043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1044</v>
      </c>
      <c r="C81" s="36" t="s">
        <v>1045</v>
      </c>
      <c r="D81" s="166" t="str">
        <f>Troupeau!B3</f>
        <v>OL</v>
      </c>
      <c r="E81" s="166" t="str">
        <f>Troupeau!C3</f>
        <v>BV</v>
      </c>
      <c r="F81" s="166">
        <f>Troupeau!D3</f>
        <v>0</v>
      </c>
      <c r="J81" s="166" t="s">
        <v>13</v>
      </c>
      <c r="K81" s="166" t="str">
        <f>Troupeau!B3</f>
        <v>OL</v>
      </c>
      <c r="L81" s="166" t="str">
        <f>Troupeau!C3</f>
        <v>BV</v>
      </c>
      <c r="M81" s="166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1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3">
        <f>[1]Conc!$D5</f>
        <v>200</v>
      </c>
      <c r="D82" s="168">
        <f>BY89+CC89</f>
        <v>17.400000000000002</v>
      </c>
      <c r="E82" s="168">
        <f t="shared" ref="E82:F97" si="33">BZ89+CD89</f>
        <v>0</v>
      </c>
      <c r="F82" s="168">
        <f t="shared" si="33"/>
        <v>0</v>
      </c>
      <c r="J82" s="168">
        <f>SUM(K82:M82)</f>
        <v>3480.0000000000005</v>
      </c>
      <c r="K82" s="168">
        <f>$C82*D82</f>
        <v>3480.0000000000005</v>
      </c>
      <c r="L82" s="168">
        <f t="shared" ref="L82:M97" si="34">$C82*E82</f>
        <v>0</v>
      </c>
      <c r="M82" s="168">
        <f t="shared" si="34"/>
        <v>0</v>
      </c>
      <c r="X82" s="14" t="s">
        <v>1046</v>
      </c>
      <c r="Y82" s="168">
        <f>B14</f>
        <v>0</v>
      </c>
    </row>
    <row r="83" spans="1:143" x14ac:dyDescent="0.25">
      <c r="A83" s="218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0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0</v>
      </c>
      <c r="K83" s="168">
        <f t="shared" ref="K83:M106" si="37">$C83*D83</f>
        <v>0</v>
      </c>
      <c r="L83" s="168">
        <f t="shared" si="34"/>
        <v>0</v>
      </c>
      <c r="M83" s="168">
        <f t="shared" si="34"/>
        <v>0</v>
      </c>
      <c r="Q83" s="2" t="s">
        <v>1047</v>
      </c>
      <c r="X83" s="14" t="s">
        <v>1048</v>
      </c>
      <c r="Y83" s="168">
        <f>U12</f>
        <v>0</v>
      </c>
    </row>
    <row r="84" spans="1:143" x14ac:dyDescent="0.25">
      <c r="A84" s="218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1049</v>
      </c>
      <c r="Y84" s="168">
        <f>V12</f>
        <v>0</v>
      </c>
    </row>
    <row r="85" spans="1:143" x14ac:dyDescent="0.25">
      <c r="A85" s="218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1050</v>
      </c>
      <c r="Y85" s="168">
        <f>W12</f>
        <v>0</v>
      </c>
    </row>
    <row r="86" spans="1:143" x14ac:dyDescent="0.25">
      <c r="A86" s="218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18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418</v>
      </c>
      <c r="U87" s="17"/>
      <c r="Y87" t="s">
        <v>1051</v>
      </c>
      <c r="AB87" t="s">
        <v>85</v>
      </c>
      <c r="AL87"/>
      <c r="BG87"/>
      <c r="BY87" t="s">
        <v>947</v>
      </c>
      <c r="CC87" t="s">
        <v>1052</v>
      </c>
    </row>
    <row r="88" spans="1:143" x14ac:dyDescent="0.25">
      <c r="A88" s="218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284</v>
      </c>
      <c r="X88" t="s">
        <v>285</v>
      </c>
      <c r="Y88" t="s">
        <v>1053</v>
      </c>
      <c r="Z88" t="s">
        <v>723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921</v>
      </c>
      <c r="BZ88" s="166" t="s">
        <v>937</v>
      </c>
      <c r="CA88" s="166" t="s">
        <v>938</v>
      </c>
      <c r="CB88" s="166"/>
      <c r="CC88" s="166" t="s">
        <v>921</v>
      </c>
      <c r="CD88" s="166" t="s">
        <v>937</v>
      </c>
      <c r="CE88" s="166" t="s">
        <v>938</v>
      </c>
    </row>
    <row r="89" spans="1:143" x14ac:dyDescent="0.25">
      <c r="A89" s="218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92</v>
      </c>
      <c r="R89" t="s">
        <v>373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17.400000000000002</v>
      </c>
      <c r="CD89" s="168">
        <f>CdTrp2!AK$54</f>
        <v>0</v>
      </c>
      <c r="CE89" s="168">
        <f>CdTrp3!AK$54</f>
        <v>0</v>
      </c>
    </row>
    <row r="90" spans="1:143" x14ac:dyDescent="0.25">
      <c r="A90" s="218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374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0</v>
      </c>
      <c r="CD90" s="168">
        <f>CdTrp2!AL$54</f>
        <v>0</v>
      </c>
      <c r="CE90" s="168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375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3">
        <f>[1]Conc!$D15</f>
        <v>416</v>
      </c>
      <c r="D92" s="168">
        <f t="shared" si="35"/>
        <v>7.8</v>
      </c>
      <c r="E92" s="168">
        <f t="shared" si="33"/>
        <v>0</v>
      </c>
      <c r="F92" s="168">
        <f t="shared" si="33"/>
        <v>0</v>
      </c>
      <c r="J92" s="168">
        <f t="shared" si="36"/>
        <v>3244.7999999999997</v>
      </c>
      <c r="K92" s="168">
        <f t="shared" si="37"/>
        <v>3244.7999999999997</v>
      </c>
      <c r="L92" s="168">
        <f t="shared" si="34"/>
        <v>0</v>
      </c>
      <c r="M92" s="168">
        <f t="shared" si="34"/>
        <v>0</v>
      </c>
      <c r="R92" t="s">
        <v>376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377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18" t="str">
        <f>'Conduite Trp'!B23</f>
        <v>13 -aliment complet brebis lait</v>
      </c>
      <c r="C94" s="183">
        <f>[1]Conc!$D17</f>
        <v>308</v>
      </c>
      <c r="D94" s="168">
        <f t="shared" si="35"/>
        <v>2.7</v>
      </c>
      <c r="E94" s="168">
        <f t="shared" si="33"/>
        <v>0</v>
      </c>
      <c r="F94" s="168">
        <f t="shared" si="33"/>
        <v>0</v>
      </c>
      <c r="J94" s="168">
        <f t="shared" si="36"/>
        <v>831.6</v>
      </c>
      <c r="K94" s="168">
        <f t="shared" si="37"/>
        <v>831.6</v>
      </c>
      <c r="L94" s="168">
        <f t="shared" si="34"/>
        <v>0</v>
      </c>
      <c r="M94" s="168">
        <f t="shared" si="34"/>
        <v>0</v>
      </c>
      <c r="AB94" s="226">
        <f>SUM(AB89:AB93)</f>
        <v>0</v>
      </c>
      <c r="AC94" s="226">
        <f t="shared" ref="AC94:BV94" si="42">SUM(AC89:AC93)</f>
        <v>0</v>
      </c>
      <c r="AD94" s="226">
        <f t="shared" si="42"/>
        <v>0</v>
      </c>
      <c r="AE94" s="226">
        <f t="shared" si="42"/>
        <v>0</v>
      </c>
      <c r="AF94" s="226">
        <f t="shared" si="42"/>
        <v>0</v>
      </c>
      <c r="AG94" s="226">
        <f t="shared" si="42"/>
        <v>0</v>
      </c>
      <c r="AH94" s="226">
        <f t="shared" si="42"/>
        <v>0</v>
      </c>
      <c r="AI94" s="226">
        <f t="shared" si="42"/>
        <v>0</v>
      </c>
      <c r="AJ94" s="226">
        <f t="shared" si="42"/>
        <v>0</v>
      </c>
      <c r="AK94" s="226">
        <f t="shared" si="42"/>
        <v>0</v>
      </c>
      <c r="AL94" s="226">
        <f t="shared" si="42"/>
        <v>0</v>
      </c>
      <c r="AM94" s="226">
        <f t="shared" si="42"/>
        <v>0</v>
      </c>
      <c r="AN94" s="226">
        <f t="shared" si="42"/>
        <v>0</v>
      </c>
      <c r="AO94" s="226">
        <f t="shared" si="42"/>
        <v>0</v>
      </c>
      <c r="AP94" s="226">
        <f t="shared" si="42"/>
        <v>0</v>
      </c>
      <c r="AQ94" s="226">
        <f t="shared" si="42"/>
        <v>0</v>
      </c>
      <c r="AR94" s="226">
        <f t="shared" si="42"/>
        <v>0</v>
      </c>
      <c r="AS94" s="226">
        <f t="shared" si="42"/>
        <v>0</v>
      </c>
      <c r="AT94" s="226">
        <f t="shared" si="42"/>
        <v>0</v>
      </c>
      <c r="AU94" s="226">
        <f t="shared" si="42"/>
        <v>0</v>
      </c>
      <c r="AV94" s="226">
        <f t="shared" si="42"/>
        <v>0</v>
      </c>
      <c r="AW94" s="226">
        <f t="shared" si="42"/>
        <v>0</v>
      </c>
      <c r="AX94" s="226">
        <f t="shared" si="42"/>
        <v>0</v>
      </c>
      <c r="AY94" s="226">
        <f t="shared" si="42"/>
        <v>0</v>
      </c>
      <c r="AZ94" s="226">
        <f t="shared" si="42"/>
        <v>0</v>
      </c>
      <c r="BA94" s="226">
        <f t="shared" si="42"/>
        <v>0</v>
      </c>
      <c r="BB94" s="226">
        <f t="shared" si="42"/>
        <v>0</v>
      </c>
      <c r="BC94" s="226">
        <f t="shared" si="42"/>
        <v>0</v>
      </c>
      <c r="BD94" s="226">
        <f t="shared" si="42"/>
        <v>0</v>
      </c>
      <c r="BE94" s="226">
        <f t="shared" si="42"/>
        <v>0</v>
      </c>
      <c r="BF94" s="226">
        <f t="shared" si="42"/>
        <v>0</v>
      </c>
      <c r="BG94" s="226">
        <f t="shared" si="42"/>
        <v>0</v>
      </c>
      <c r="BH94" s="226">
        <f t="shared" si="42"/>
        <v>0</v>
      </c>
      <c r="BI94" s="226">
        <f t="shared" si="42"/>
        <v>0</v>
      </c>
      <c r="BJ94" s="226">
        <f t="shared" si="42"/>
        <v>0</v>
      </c>
      <c r="BK94" s="226">
        <f t="shared" si="42"/>
        <v>0</v>
      </c>
      <c r="BL94" s="226">
        <f t="shared" si="42"/>
        <v>0</v>
      </c>
      <c r="BM94" s="226">
        <f t="shared" si="42"/>
        <v>0</v>
      </c>
      <c r="BN94" s="226">
        <f t="shared" si="42"/>
        <v>0</v>
      </c>
      <c r="BO94" s="226">
        <f t="shared" si="42"/>
        <v>0</v>
      </c>
      <c r="BP94" s="226">
        <f t="shared" si="42"/>
        <v>0</v>
      </c>
      <c r="BQ94" s="226">
        <f t="shared" si="42"/>
        <v>0</v>
      </c>
      <c r="BR94" s="226">
        <f t="shared" si="42"/>
        <v>0</v>
      </c>
      <c r="BS94" s="226">
        <f t="shared" si="42"/>
        <v>0</v>
      </c>
      <c r="BT94" s="226">
        <f t="shared" si="42"/>
        <v>0</v>
      </c>
      <c r="BU94" s="226">
        <f t="shared" si="42"/>
        <v>0</v>
      </c>
      <c r="BV94" s="226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3">
        <f>[1]Conc!$D18</f>
        <v>270</v>
      </c>
      <c r="D95" s="168">
        <f t="shared" si="35"/>
        <v>5.3</v>
      </c>
      <c r="E95" s="168">
        <f t="shared" si="33"/>
        <v>0</v>
      </c>
      <c r="F95" s="168">
        <f t="shared" si="33"/>
        <v>0</v>
      </c>
      <c r="J95" s="168">
        <f t="shared" si="36"/>
        <v>1431</v>
      </c>
      <c r="K95" s="168">
        <f t="shared" si="37"/>
        <v>1431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18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93</v>
      </c>
      <c r="R96" t="s">
        <v>373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18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374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18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375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376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7.8</v>
      </c>
      <c r="CD99" s="168">
        <f>CdTrp2!AU$54</f>
        <v>0</v>
      </c>
      <c r="CE99" s="168">
        <f>CdTrp3!AU$54</f>
        <v>0</v>
      </c>
    </row>
    <row r="100" spans="1:83" x14ac:dyDescent="0.25">
      <c r="A100" s="218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377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18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2.7</v>
      </c>
      <c r="CD101" s="168">
        <f>CdTrp2!AW$54</f>
        <v>0</v>
      </c>
      <c r="CE101" s="168">
        <f>CdTrp3!AW$54</f>
        <v>0</v>
      </c>
    </row>
    <row r="102" spans="1:83" x14ac:dyDescent="0.25">
      <c r="A102" s="218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5.3</v>
      </c>
      <c r="CD102" s="168">
        <f>CdTrp2!AX$54</f>
        <v>0</v>
      </c>
      <c r="CE102" s="168">
        <f>CdTrp3!AX$54</f>
        <v>0</v>
      </c>
    </row>
    <row r="103" spans="1:83" x14ac:dyDescent="0.25">
      <c r="A103" s="218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94</v>
      </c>
      <c r="R103" t="s">
        <v>373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18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374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18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375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18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376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18"/>
      <c r="B107" s="227"/>
      <c r="C107" s="167"/>
      <c r="R107" t="s">
        <v>377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 t="str">
        <f>Troupeau!C3</f>
        <v>BV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1054</v>
      </c>
      <c r="J110" s="168">
        <f t="shared" ref="J110:J115" si="54">SUM(K110:N110)</f>
        <v>1952</v>
      </c>
      <c r="K110" s="172">
        <f t="shared" ref="K110:K115" si="55">ROUND(T132*U132,0)</f>
        <v>1952</v>
      </c>
      <c r="L110" s="172">
        <f>ROUND(V132*W132,0)</f>
        <v>0</v>
      </c>
      <c r="M110" s="172">
        <f t="shared" ref="M110:M115" si="56">ROUND(X132*Y132,0)</f>
        <v>0</v>
      </c>
      <c r="R110" s="40" t="s">
        <v>1055</v>
      </c>
      <c r="S110" s="166" t="str">
        <f>Troupeau!B3</f>
        <v>OL</v>
      </c>
      <c r="T110" s="61">
        <f>SUM(K82:K106)</f>
        <v>8987.4000000000015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1056</v>
      </c>
      <c r="J111" s="168">
        <f t="shared" si="54"/>
        <v>4839</v>
      </c>
      <c r="K111" s="172">
        <f t="shared" si="55"/>
        <v>4839</v>
      </c>
      <c r="L111" s="172">
        <f>ROUND(V133*W133,0)</f>
        <v>0</v>
      </c>
      <c r="M111" s="172">
        <f t="shared" si="56"/>
        <v>0</v>
      </c>
      <c r="R111" s="14"/>
      <c r="S111" s="166" t="str">
        <f>Troupeau!C3</f>
        <v>BV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1057</v>
      </c>
      <c r="J112" s="168">
        <f t="shared" si="54"/>
        <v>2587</v>
      </c>
      <c r="K112" s="172">
        <f t="shared" si="55"/>
        <v>2587</v>
      </c>
      <c r="L112" s="172">
        <f>ROUND(V134*W134,0)</f>
        <v>0</v>
      </c>
      <c r="M112" s="172">
        <f t="shared" si="56"/>
        <v>0</v>
      </c>
      <c r="O112" s="228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1058</v>
      </c>
      <c r="J113" s="168">
        <f t="shared" si="54"/>
        <v>732</v>
      </c>
      <c r="K113" s="172">
        <f t="shared" si="55"/>
        <v>732</v>
      </c>
      <c r="L113" s="172">
        <f>ROUND(V135*W135,0)</f>
        <v>0</v>
      </c>
      <c r="M113" s="172">
        <f t="shared" si="56"/>
        <v>0</v>
      </c>
      <c r="O113" s="228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1059</v>
      </c>
      <c r="J114" s="168">
        <f t="shared" si="54"/>
        <v>854</v>
      </c>
      <c r="K114" s="172">
        <f t="shared" si="55"/>
        <v>854</v>
      </c>
      <c r="L114" s="172">
        <f>ROUND(U136*V136,0)</f>
        <v>0</v>
      </c>
      <c r="M114" s="172">
        <f t="shared" si="56"/>
        <v>0</v>
      </c>
      <c r="O114" s="228"/>
      <c r="BG114"/>
      <c r="BH114" s="14"/>
      <c r="BZ114" s="166"/>
      <c r="CA114" s="166"/>
    </row>
    <row r="115" spans="1:83" x14ac:dyDescent="0.25">
      <c r="A115" t="s">
        <v>1060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28"/>
      <c r="BG115"/>
      <c r="BH115" s="14"/>
    </row>
    <row r="116" spans="1:83" x14ac:dyDescent="0.25">
      <c r="A116" s="2" t="s">
        <v>1061</v>
      </c>
      <c r="K116" s="62">
        <f>SUM(K110:K115)+SUM(K82:K106)</f>
        <v>19951.400000000001</v>
      </c>
      <c r="L116" s="62">
        <f t="shared" ref="L116:M116" si="57">SUM(L110:L115)+SUM(L82:L106)</f>
        <v>0</v>
      </c>
      <c r="M116" s="62">
        <f t="shared" si="57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1062</v>
      </c>
      <c r="B118" s="172">
        <f>IF('Alim -Surf'!K27&lt;0,-'Alim -Surf'!K27,0)</f>
        <v>33.599999999999994</v>
      </c>
      <c r="C118" s="183">
        <f>IF(Scénario!$K$12="BV",[1]Eco!$B$78,IF(Scénario!$K$12="BL",[1]Eco!$B$77,[1]Eco!$B$76))</f>
        <v>223</v>
      </c>
      <c r="J118" s="168">
        <f>B118*C118</f>
        <v>7492.7999999999984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1063</v>
      </c>
      <c r="B119" s="172">
        <f>IF('Alim -Surf'!K9&lt;0,-'Alim -Surf'!K9,0)</f>
        <v>24.563744520976833</v>
      </c>
      <c r="C119" s="183">
        <f>[1]Eco!$B$79</f>
        <v>80</v>
      </c>
      <c r="J119" s="168">
        <f>B119*C119</f>
        <v>1965.0995616781465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1064</v>
      </c>
      <c r="B121" t="s">
        <v>1065</v>
      </c>
      <c r="C121" t="s">
        <v>37</v>
      </c>
      <c r="D121" t="s">
        <v>1066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1.3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570</v>
      </c>
      <c r="U122" s="2" t="s">
        <v>584</v>
      </c>
      <c r="V122" s="2" t="s">
        <v>591</v>
      </c>
      <c r="W122" s="2" t="s">
        <v>1028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1067</v>
      </c>
      <c r="T123" s="166">
        <f>Troupeau!J17</f>
        <v>39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1068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1069</v>
      </c>
      <c r="T124" s="166" t="str">
        <f>Troupeau!B3</f>
        <v>OL</v>
      </c>
      <c r="U124" s="166" t="str">
        <f>Troupeau!C3</f>
        <v>BV</v>
      </c>
      <c r="V124" s="166">
        <f>Troupeau!D3</f>
        <v>0</v>
      </c>
      <c r="W124" s="166">
        <f>Troupeau!E3</f>
        <v>0</v>
      </c>
      <c r="AF124" s="2" t="s">
        <v>570</v>
      </c>
      <c r="AG124" s="2" t="s">
        <v>584</v>
      </c>
      <c r="AH124" s="2" t="s">
        <v>591</v>
      </c>
      <c r="AI124" s="2" t="s">
        <v>1028</v>
      </c>
      <c r="AJ124" s="229" t="s">
        <v>1070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1071</v>
      </c>
      <c r="T125">
        <f>ROUND(Troupeau!B35/1000,2)</f>
        <v>30.44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1072</v>
      </c>
      <c r="AF125" s="30">
        <f>Troupeau!J17</f>
        <v>39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1073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1074</v>
      </c>
      <c r="AE126" t="s">
        <v>1075</v>
      </c>
      <c r="AF126" s="30">
        <f>B9</f>
        <v>142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1076</v>
      </c>
      <c r="T127">
        <f>Troupeau!B17</f>
        <v>244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1078</v>
      </c>
      <c r="AE128" t="s">
        <v>1079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7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3"/>
      <c r="AD129" s="14" t="s">
        <v>1080</v>
      </c>
      <c r="AE129" t="s">
        <v>1075</v>
      </c>
      <c r="AF129" s="30">
        <f>B10</f>
        <v>94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570</v>
      </c>
      <c r="U130" s="2"/>
      <c r="V130" s="2" t="s">
        <v>584</v>
      </c>
      <c r="W130" s="2"/>
      <c r="X130" s="2" t="s">
        <v>591</v>
      </c>
      <c r="Y130" s="2"/>
      <c r="Z130" s="2" t="s">
        <v>1028</v>
      </c>
      <c r="AA130" s="2"/>
      <c r="AB130" s="203"/>
      <c r="AE130" t="s">
        <v>1077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28"/>
      <c r="T131" s="166" t="s">
        <v>1081</v>
      </c>
      <c r="U131" s="166" t="s">
        <v>1082</v>
      </c>
      <c r="V131" s="166" t="s">
        <v>1081</v>
      </c>
      <c r="W131" s="166" t="s">
        <v>1082</v>
      </c>
      <c r="X131" s="166" t="s">
        <v>1081</v>
      </c>
      <c r="Y131" s="166" t="s">
        <v>1082</v>
      </c>
      <c r="Z131" s="166" t="s">
        <v>1081</v>
      </c>
      <c r="AA131" s="166" t="s">
        <v>1082</v>
      </c>
      <c r="AB131" s="203" t="s">
        <v>1083</v>
      </c>
      <c r="AE131" t="s">
        <v>1079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7"/>
      <c r="AL131"/>
      <c r="AM131" s="5"/>
      <c r="BG131"/>
      <c r="BH131" s="14"/>
    </row>
    <row r="132" spans="1:60" x14ac:dyDescent="0.25">
      <c r="A132" s="182" t="s">
        <v>1084</v>
      </c>
      <c r="B132" s="5"/>
      <c r="C132" s="168">
        <f>AH228</f>
        <v>1.5</v>
      </c>
      <c r="D132" s="183">
        <f>HLOOKUP(Troupeau!$J$17,[1]Anx!$D$170:$CN$186,'Calcul éco'!O132)</f>
        <v>45</v>
      </c>
      <c r="E132" s="230"/>
      <c r="F132" s="230"/>
      <c r="G132" s="18"/>
      <c r="J132" s="168">
        <f>D132*C132</f>
        <v>67.5</v>
      </c>
      <c r="K132" s="167"/>
      <c r="L132" s="167"/>
      <c r="M132" s="167"/>
      <c r="N132" s="167"/>
      <c r="O132" s="228">
        <v>10</v>
      </c>
      <c r="S132" s="14" t="s">
        <v>1054</v>
      </c>
      <c r="T132" s="166">
        <f>$T$127</f>
        <v>244</v>
      </c>
      <c r="U132" s="183">
        <f>HLOOKUP($T$123,[1]Anx!$D$170:$CN$1177,$AB132)</f>
        <v>8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1085</v>
      </c>
      <c r="AE132" t="s">
        <v>1075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2" t="s">
        <v>1086</v>
      </c>
      <c r="B133" s="5"/>
      <c r="C133" s="168">
        <f>AI228</f>
        <v>9</v>
      </c>
      <c r="D133" s="183">
        <f>HLOOKUP(Troupeau!$J$17,[1]Anx!$D$170:$CN$186,'Calcul éco'!O133)</f>
        <v>60.51</v>
      </c>
      <c r="E133" s="230"/>
      <c r="F133" s="230"/>
      <c r="G133" s="18"/>
      <c r="J133" s="168">
        <f t="shared" ref="J133:J138" si="61">D133*C133</f>
        <v>544.59</v>
      </c>
      <c r="K133" s="167"/>
      <c r="L133" s="167"/>
      <c r="M133" s="167"/>
      <c r="N133" s="167"/>
      <c r="O133" s="228">
        <v>11</v>
      </c>
      <c r="S133" s="14" t="s">
        <v>1056</v>
      </c>
      <c r="T133" s="166">
        <f>$T$127</f>
        <v>244</v>
      </c>
      <c r="U133" s="183">
        <f>HLOOKUP($T$123,[1]Anx!$D$170:$CN$1177,$AB133)</f>
        <v>19.829999999999998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1">
        <f>IF(Z133=0,0,HLOOKUP(W$123,[1]Anx!$D$170:$CN$1177,$AB133))</f>
        <v>0</v>
      </c>
      <c r="AB133" s="228">
        <v>4</v>
      </c>
      <c r="AE133" t="s">
        <v>1077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2" t="s">
        <v>1087</v>
      </c>
      <c r="B134" s="5"/>
      <c r="C134" s="168">
        <f>AJ228</f>
        <v>6.5</v>
      </c>
      <c r="D134" s="183">
        <f>HLOOKUP(Troupeau!$J$17,[1]Anx!$D$170:$CN$186,'Calcul éco'!O134)</f>
        <v>67.75</v>
      </c>
      <c r="E134" s="230"/>
      <c r="F134" s="230"/>
      <c r="G134" s="18"/>
      <c r="J134" s="168">
        <f t="shared" si="61"/>
        <v>440.375</v>
      </c>
      <c r="K134" s="167"/>
      <c r="L134" s="167"/>
      <c r="M134" s="167"/>
      <c r="N134" s="167"/>
      <c r="O134" s="228">
        <v>12</v>
      </c>
      <c r="S134" s="14" t="s">
        <v>1057</v>
      </c>
      <c r="T134" s="167">
        <f>B6</f>
        <v>30441</v>
      </c>
      <c r="U134" s="183">
        <f>HLOOKUP($T$123,[1]Anx!$D$170:$CN$1177,$AB134)</f>
        <v>8.5000000000000006E-2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1">
        <f>IF(Z134=0,0,HLOOKUP(W$123,[1]Anx!$D$170:$CN$1177,$AB134))</f>
        <v>0</v>
      </c>
      <c r="AB134" s="228">
        <v>5</v>
      </c>
      <c r="AE134" t="s">
        <v>1079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7"/>
      <c r="AL134"/>
      <c r="AM134" s="5"/>
      <c r="BG134"/>
      <c r="BH134" s="14"/>
    </row>
    <row r="135" spans="1:60" x14ac:dyDescent="0.25">
      <c r="A135" s="182" t="s">
        <v>1088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28">
        <v>13</v>
      </c>
      <c r="S135" s="14" t="s">
        <v>1058</v>
      </c>
      <c r="T135" s="166">
        <f>$T$127</f>
        <v>244</v>
      </c>
      <c r="U135" s="183">
        <f>HLOOKUP($T$123,[1]Anx!$D$170:$CN$1177,$AB135)</f>
        <v>3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1089</v>
      </c>
      <c r="AE135" t="s">
        <v>1075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2" t="s">
        <v>1090</v>
      </c>
      <c r="B136" s="5"/>
      <c r="C136" s="168">
        <f>AF228</f>
        <v>0</v>
      </c>
      <c r="D136" s="183">
        <f>HLOOKUP(Troupeau!$J$17,[1]Anx!$D$170:$CN$186,'Calcul éco'!O136)</f>
        <v>0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28">
        <v>14</v>
      </c>
      <c r="S136" s="14" t="s">
        <v>1091</v>
      </c>
      <c r="T136" s="166">
        <f>$T$127</f>
        <v>244</v>
      </c>
      <c r="U136" s="183">
        <f>HLOOKUP($T$123,[1]Anx!$D$170:$CN$1177,$AB136)</f>
        <v>3.5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1">
        <f>IF(Z136=0,0,HLOOKUP(W$123,[1]Anx!$D$170:$CN$1177,$AB136))</f>
        <v>0</v>
      </c>
      <c r="AB136" s="228">
        <v>7</v>
      </c>
      <c r="AE136" t="s">
        <v>1077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2" t="s">
        <v>1092</v>
      </c>
      <c r="B137" s="5"/>
      <c r="C137" s="168">
        <f>AG228</f>
        <v>0</v>
      </c>
      <c r="D137" s="183">
        <f>HLOOKUP(Troupeau!$J$17,[1]Anx!$D$170:$CN$186,'Calcul éco'!O137)</f>
        <v>125.2</v>
      </c>
      <c r="E137" s="5"/>
      <c r="F137" s="5"/>
      <c r="G137" s="18"/>
      <c r="J137" s="168">
        <f t="shared" si="61"/>
        <v>0</v>
      </c>
      <c r="K137" s="167"/>
      <c r="L137" s="167"/>
      <c r="M137" s="167"/>
      <c r="N137" s="167"/>
      <c r="O137" s="228">
        <v>15</v>
      </c>
      <c r="S137" s="32" t="s">
        <v>1093</v>
      </c>
      <c r="T137" s="166">
        <f>Troupeau!B22</f>
        <v>48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1079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7"/>
      <c r="AL137"/>
      <c r="AM137" s="5"/>
      <c r="BG137"/>
      <c r="BH137" s="14"/>
    </row>
    <row r="138" spans="1:60" x14ac:dyDescent="0.25">
      <c r="A138" s="182" t="s">
        <v>1094</v>
      </c>
      <c r="B138" s="5"/>
      <c r="C138" s="168">
        <f>AA228</f>
        <v>0</v>
      </c>
      <c r="D138" s="183">
        <f>HLOOKUP(Troupeau!$J$17,[1]Anx!$D$170:$CN$186,'Calcul éco'!O138)</f>
        <v>0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28">
        <v>16</v>
      </c>
      <c r="AD138" s="14" t="s">
        <v>1095</v>
      </c>
      <c r="AE138" t="s">
        <v>1075</v>
      </c>
      <c r="AF138" s="30">
        <f>B13</f>
        <v>36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1077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1096</v>
      </c>
      <c r="J140" s="167"/>
      <c r="K140" s="167"/>
      <c r="L140" s="167"/>
      <c r="M140" s="167"/>
      <c r="N140" s="167"/>
      <c r="Y140" s="166"/>
      <c r="AE140" t="s">
        <v>1079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7"/>
      <c r="AL140"/>
      <c r="AM140" s="5"/>
    </row>
    <row r="141" spans="1:60" x14ac:dyDescent="0.25">
      <c r="A141" t="s">
        <v>1097</v>
      </c>
      <c r="J141" s="168">
        <f>X245</f>
        <v>0</v>
      </c>
      <c r="K141" s="167"/>
      <c r="L141" s="167"/>
      <c r="M141" s="167"/>
      <c r="N141" s="167"/>
      <c r="Y141" s="166"/>
      <c r="AD141" s="14" t="s">
        <v>1098</v>
      </c>
      <c r="AE141" t="s">
        <v>1075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1099</v>
      </c>
      <c r="J142" s="168">
        <f>SUM(X271:X275)</f>
        <v>0</v>
      </c>
      <c r="K142" s="167"/>
      <c r="L142" s="167"/>
      <c r="M142" s="167"/>
      <c r="N142" s="167"/>
      <c r="Y142" s="166"/>
      <c r="AE142" t="s">
        <v>1077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6"/>
      <c r="AE143" t="s">
        <v>1079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1100</v>
      </c>
      <c r="AE144" t="s">
        <v>1075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1101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30461.764561678148</v>
      </c>
      <c r="K145" s="221"/>
      <c r="L145" s="221"/>
      <c r="M145" s="221"/>
      <c r="N145" s="221"/>
      <c r="Y145" s="166"/>
      <c r="AE145" t="s">
        <v>1077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1103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1104</v>
      </c>
      <c r="B149" s="168">
        <f>B$154</f>
        <v>17</v>
      </c>
      <c r="C149" s="183">
        <f>HLOOKUP(Troupeau!J$17,[1]Anx!$D$170:$CN$220,'Calcul éco'!O149)</f>
        <v>32.6</v>
      </c>
      <c r="D149" s="5"/>
      <c r="G149" s="166"/>
      <c r="J149" s="168">
        <f t="shared" ref="J149:J154" si="67">B149*C149</f>
        <v>554.20000000000005</v>
      </c>
      <c r="K149" s="168"/>
      <c r="L149" s="168"/>
      <c r="M149" s="168"/>
      <c r="N149" s="168"/>
      <c r="O149" s="228">
        <v>19</v>
      </c>
      <c r="AL149"/>
      <c r="AM149" s="5"/>
    </row>
    <row r="150" spans="1:39" x14ac:dyDescent="0.25">
      <c r="A150" t="s">
        <v>1105</v>
      </c>
      <c r="B150" s="167">
        <v>1</v>
      </c>
      <c r="C150" s="183">
        <f>HLOOKUP(Troupeau!J$17,[1]Anx!$D$170:$CN$220,'Calcul éco'!O150)</f>
        <v>1500</v>
      </c>
      <c r="D150" s="5"/>
      <c r="G150" s="166"/>
      <c r="J150" s="168">
        <f t="shared" si="67"/>
        <v>1500</v>
      </c>
      <c r="K150" s="168"/>
      <c r="L150" s="168"/>
      <c r="M150" s="168"/>
      <c r="N150" s="168"/>
      <c r="O150" s="228">
        <v>20</v>
      </c>
      <c r="AL150"/>
      <c r="AM150" s="5"/>
    </row>
    <row r="151" spans="1:39" x14ac:dyDescent="0.25">
      <c r="A151" t="s">
        <v>1106</v>
      </c>
      <c r="B151" s="167">
        <v>1</v>
      </c>
      <c r="C151" s="183">
        <f>HLOOKUP(Troupeau!J$17,[1]Anx!$D$170:$CN$220,'Calcul éco'!O151)</f>
        <v>14386.5</v>
      </c>
      <c r="D151" s="5"/>
      <c r="G151" s="166"/>
      <c r="J151" s="168">
        <f t="shared" si="67"/>
        <v>14386.5</v>
      </c>
      <c r="K151" s="168"/>
      <c r="L151" s="168"/>
      <c r="M151" s="168"/>
      <c r="N151" s="168"/>
      <c r="O151" s="228">
        <v>21</v>
      </c>
      <c r="Y151" t="s">
        <v>1107</v>
      </c>
    </row>
    <row r="152" spans="1:39" x14ac:dyDescent="0.25">
      <c r="A152" t="s">
        <v>1108</v>
      </c>
      <c r="B152" s="168">
        <f>+Scénario!K6</f>
        <v>0</v>
      </c>
      <c r="C152" s="183">
        <f>HLOOKUP(Troupeau!J$17,[1]Anx!$D$170:$CN$220,'Calcul éco'!O152)</f>
        <v>23300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28">
        <v>22</v>
      </c>
      <c r="Z152" t="s">
        <v>1109</v>
      </c>
    </row>
    <row r="153" spans="1:39" x14ac:dyDescent="0.25">
      <c r="A153" s="5" t="s">
        <v>1110</v>
      </c>
      <c r="B153" s="167">
        <v>1</v>
      </c>
      <c r="C153" s="183">
        <f>HLOOKUP(Troupeau!J$17,[1]Anx!$D$170:$CN$220,'Calcul éco'!O153)</f>
        <v>15531</v>
      </c>
      <c r="D153" s="5"/>
      <c r="E153" s="5"/>
      <c r="G153" s="166"/>
      <c r="J153" s="168">
        <f t="shared" si="67"/>
        <v>15531</v>
      </c>
      <c r="K153" s="168"/>
      <c r="L153" s="168"/>
      <c r="M153" s="168"/>
      <c r="N153" s="168"/>
      <c r="O153" s="228">
        <v>23</v>
      </c>
      <c r="V153" s="14" t="s">
        <v>1111</v>
      </c>
      <c r="W153" s="168">
        <f>U$228</f>
        <v>15.5</v>
      </c>
      <c r="X153" t="s">
        <v>50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1112</v>
      </c>
      <c r="B154" s="168">
        <f>Scénario!K48</f>
        <v>17</v>
      </c>
      <c r="C154" s="183">
        <f>HLOOKUP(Troupeau!J$17,[1]Anx!$D$170:$CN$220,'Calcul éco'!O154)</f>
        <v>336</v>
      </c>
      <c r="D154" s="5"/>
      <c r="G154" s="166"/>
      <c r="J154" s="168">
        <f t="shared" si="67"/>
        <v>5712</v>
      </c>
      <c r="K154" s="168"/>
      <c r="L154" s="168"/>
      <c r="M154" s="168"/>
      <c r="N154" s="168"/>
      <c r="O154" s="228">
        <v>24</v>
      </c>
      <c r="V154" s="14" t="s">
        <v>1113</v>
      </c>
      <c r="W154" s="168">
        <f>V$228</f>
        <v>6.5</v>
      </c>
      <c r="X154" t="s">
        <v>50</v>
      </c>
      <c r="Y154" s="168">
        <f>W154-Scénario!K29</f>
        <v>0</v>
      </c>
      <c r="Z154" s="168">
        <f>Y154</f>
        <v>0</v>
      </c>
    </row>
    <row r="155" spans="1:39" x14ac:dyDescent="0.25">
      <c r="A155" s="17" t="s">
        <v>1114</v>
      </c>
      <c r="B155" s="233">
        <f>B154</f>
        <v>17</v>
      </c>
      <c r="C155" s="183">
        <f>HLOOKUP(Troupeau!J$17,[1]Anx!$D$170:$CN$220,'Calcul éco'!O155)</f>
        <v>100</v>
      </c>
      <c r="D155" s="86"/>
      <c r="E155" s="17"/>
      <c r="G155" s="166"/>
      <c r="H155" s="17"/>
      <c r="I155" s="233">
        <f>B155*C155</f>
        <v>1700</v>
      </c>
      <c r="O155" s="228">
        <v>25</v>
      </c>
      <c r="V155" s="14" t="s">
        <v>1115</v>
      </c>
      <c r="W155" s="168">
        <f>W$228</f>
        <v>2.5</v>
      </c>
      <c r="X155" t="s">
        <v>50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28"/>
      <c r="U156" t="s">
        <v>1116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1117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1118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28">
        <v>2</v>
      </c>
    </row>
    <row r="159" spans="1:39" x14ac:dyDescent="0.25">
      <c r="A159" s="5" t="s">
        <v>1119</v>
      </c>
      <c r="B159" s="168">
        <f t="shared" ref="B159:B161" si="69">Z154</f>
        <v>0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0</v>
      </c>
      <c r="K159" s="168"/>
      <c r="L159" s="168"/>
      <c r="M159" s="168"/>
      <c r="N159" s="168"/>
      <c r="O159" s="228">
        <v>3</v>
      </c>
    </row>
    <row r="160" spans="1:39" x14ac:dyDescent="0.25">
      <c r="A160" s="5" t="s">
        <v>1120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28">
        <v>3</v>
      </c>
      <c r="X160" s="5"/>
      <c r="Y160" s="5"/>
    </row>
    <row r="161" spans="1:41" x14ac:dyDescent="0.25">
      <c r="A161" s="5" t="s">
        <v>1121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28">
        <v>4</v>
      </c>
      <c r="R161" s="2" t="s">
        <v>650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70">S164*X164</f>
        <v>0</v>
      </c>
      <c r="AB164" s="168">
        <f t="shared" ref="AB164:AB207" si="71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O164" s="166" t="s">
        <v>50</v>
      </c>
    </row>
    <row r="165" spans="1:41" x14ac:dyDescent="0.25">
      <c r="A165" s="5" t="s">
        <v>1122</v>
      </c>
      <c r="B165" s="5"/>
      <c r="C165" s="192" t="s">
        <v>1123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72">IF($T165&gt;0,$S165,0)</f>
        <v>5</v>
      </c>
      <c r="V165" s="168">
        <f t="shared" ref="V165:V207" si="73">IF($T165&gt;1,$S165,0)</f>
        <v>0</v>
      </c>
      <c r="W165" s="168">
        <f t="shared" ref="W165:W20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07" si="75">Z165*S165</f>
        <v>0</v>
      </c>
      <c r="AD165" s="168">
        <f t="shared" ref="AD165:AD207" si="76">S165-AC165-AA165</f>
        <v>5</v>
      </c>
      <c r="AE165" s="168">
        <f t="shared" ref="AE165:AE207" si="77">IF(T165=0,AC165,0)</f>
        <v>0</v>
      </c>
      <c r="AF165" s="168">
        <f t="shared" ref="AF165:AF207" si="78">IF(T165=1,AC165,0)</f>
        <v>0</v>
      </c>
      <c r="AG165" s="168">
        <f t="shared" ref="AG165:AG207" si="79">IF(T165&gt;1,AC165,0)</f>
        <v>0</v>
      </c>
      <c r="AH165" s="168">
        <f t="shared" ref="AH165:AH207" si="80">IF(T165=0,AD165,0)</f>
        <v>0</v>
      </c>
      <c r="AI165" s="168">
        <f t="shared" ref="AI165:AI207" si="81">IF(T165=1,AD165,0)</f>
        <v>5</v>
      </c>
      <c r="AJ165" s="168">
        <f t="shared" ref="AJ165:AJ207" si="82">IF(T165&gt;1,AD165,0)</f>
        <v>0</v>
      </c>
      <c r="AN165" s="32" t="s">
        <v>668</v>
      </c>
      <c r="AO165" s="168">
        <f>SUM(AD164:AD183)</f>
        <v>14.5</v>
      </c>
    </row>
    <row r="166" spans="1:41" x14ac:dyDescent="0.25">
      <c r="A166" s="5" t="s">
        <v>1124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72"/>
        <v>0</v>
      </c>
      <c r="V166" s="168">
        <f t="shared" si="73"/>
        <v>0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1.5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1.5</v>
      </c>
      <c r="AI166" s="168">
        <f t="shared" si="81"/>
        <v>0</v>
      </c>
      <c r="AJ166" s="168">
        <f t="shared" si="82"/>
        <v>0</v>
      </c>
      <c r="AN166" s="32" t="s">
        <v>669</v>
      </c>
      <c r="AO166" s="168">
        <f>SUM(AC164:AC183)</f>
        <v>0</v>
      </c>
    </row>
    <row r="167" spans="1:41" x14ac:dyDescent="0.25">
      <c r="A167" s="5" t="s">
        <v>1125</v>
      </c>
      <c r="B167" s="30">
        <f>IF(Scénario!K129=1,SUM(Travail!F69:F75)+Travail!F81+Travail!F83+Travail!F84,0)</f>
        <v>0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0</v>
      </c>
      <c r="K167" s="168"/>
      <c r="L167" s="168"/>
      <c r="M167" s="168"/>
      <c r="N167" s="168"/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72"/>
        <v>4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4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4</v>
      </c>
      <c r="AJ167" s="168">
        <f t="shared" si="82"/>
        <v>0</v>
      </c>
      <c r="AN167" s="32" t="s">
        <v>670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671</v>
      </c>
      <c r="AO168" s="168">
        <f>SUM(AD186:AD205)</f>
        <v>2.5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672</v>
      </c>
      <c r="AO169" s="168">
        <f>SUM(AC186:AC205)</f>
        <v>0</v>
      </c>
    </row>
    <row r="170" spans="1:41" x14ac:dyDescent="0.25">
      <c r="A170" s="220" t="s">
        <v>1126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37683.699999999997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673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674</v>
      </c>
      <c r="AO171" s="168">
        <f>'Alim -Surf'!O51</f>
        <v>1.3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1127</v>
      </c>
      <c r="B174" s="221">
        <f>J48-J145-J170</f>
        <v>41290.039438321837</v>
      </c>
      <c r="C174" s="234"/>
      <c r="D174" s="234"/>
      <c r="E174" s="234"/>
      <c r="F174" s="234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1128</v>
      </c>
      <c r="B175" s="221">
        <f>ROUND(B174/Scénario!K4,0)</f>
        <v>20645</v>
      </c>
      <c r="C175" s="187"/>
      <c r="D175" s="234"/>
      <c r="E175" s="234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1129</v>
      </c>
      <c r="B177" s="30">
        <f>HLOOKUP(Troupeau!J17,[1]Anx!$D$170:$CO$196,27)</f>
        <v>6000</v>
      </c>
      <c r="C177" s="5"/>
      <c r="D177" s="5"/>
      <c r="F177" s="5"/>
      <c r="G177" s="5"/>
      <c r="O177" s="228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1130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1131</v>
      </c>
      <c r="B180" s="221">
        <f>B174-B177-B178</f>
        <v>35290.039438321837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1132</v>
      </c>
      <c r="B181" s="221">
        <f>ROUND(B180/Scénario!K4,0)</f>
        <v>17645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72"/>
        <v>2.5</v>
      </c>
      <c r="V186" s="168">
        <f t="shared" si="73"/>
        <v>2.5</v>
      </c>
      <c r="W186" s="168">
        <f t="shared" si="74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2.5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2.5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72"/>
        <v>0</v>
      </c>
      <c r="V187" s="168">
        <f t="shared" si="73"/>
        <v>0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0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72"/>
        <v>0</v>
      </c>
      <c r="V188" s="168">
        <f t="shared" si="73"/>
        <v>0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675</v>
      </c>
      <c r="R228" s="2"/>
      <c r="S228" s="62">
        <f t="shared" ref="S228" si="83">SUM(S164:S227)</f>
        <v>17</v>
      </c>
      <c r="U228" s="62">
        <f>SUM(U164:U227)</f>
        <v>15.5</v>
      </c>
      <c r="V228" s="62">
        <f t="shared" ref="V228:W228" si="84">SUM(V164:V227)</f>
        <v>6.5</v>
      </c>
      <c r="W228" s="62">
        <f t="shared" si="84"/>
        <v>2.5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17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1.5</v>
      </c>
      <c r="AI228" s="62">
        <f t="shared" si="86"/>
        <v>9</v>
      </c>
      <c r="AJ228" s="62">
        <f t="shared" si="86"/>
        <v>6.5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1133</v>
      </c>
      <c r="V232" t="s">
        <v>1134</v>
      </c>
      <c r="W232" t="s">
        <v>1135</v>
      </c>
      <c r="X232" t="s">
        <v>1136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332</v>
      </c>
      <c r="T233" s="30">
        <f>Protection!AD14</f>
        <v>0</v>
      </c>
      <c r="U233" t="s">
        <v>1137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1138</v>
      </c>
      <c r="T234" s="30">
        <f>Protection!AK25</f>
        <v>0</v>
      </c>
      <c r="U234" t="s">
        <v>1139</v>
      </c>
      <c r="V234" s="168"/>
      <c r="W234" s="168">
        <f>[1]Protect!$B$4</f>
        <v>6</v>
      </c>
      <c r="X234" s="168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1140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1141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1142</v>
      </c>
      <c r="AA236" t="s">
        <v>1143</v>
      </c>
      <c r="AB236" t="s">
        <v>1144</v>
      </c>
      <c r="AC236" t="s">
        <v>1145</v>
      </c>
      <c r="AD236" t="s">
        <v>1146</v>
      </c>
      <c r="AE236" t="s">
        <v>1147</v>
      </c>
      <c r="AF236" t="s">
        <v>1148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1149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1150</v>
      </c>
      <c r="T240" s="30">
        <f>IF(Scénario!K87=3,Protection!AE33,0)</f>
        <v>0</v>
      </c>
      <c r="U240" t="s">
        <v>1139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1151</v>
      </c>
      <c r="W244" t="s">
        <v>1082</v>
      </c>
      <c r="X244" t="s">
        <v>973</v>
      </c>
    </row>
    <row r="245" spans="17:31" x14ac:dyDescent="0.25">
      <c r="Q245" s="15"/>
      <c r="S245" s="14" t="s">
        <v>1152</v>
      </c>
      <c r="T245" s="30">
        <f>IF(Scénario!K87=0,0,Protection!AJ8)</f>
        <v>0</v>
      </c>
      <c r="X245" s="168">
        <f>ROUND((([1]Protect!$B$5/[1]Protect!$B$11)+[1]Protect!$B$8)*T245,0)</f>
        <v>0</v>
      </c>
    </row>
    <row r="246" spans="17:31" x14ac:dyDescent="0.25">
      <c r="Q246" s="15"/>
      <c r="S246" s="14" t="s">
        <v>1153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1154</v>
      </c>
      <c r="T247" s="30">
        <f>Travail!F16/8</f>
        <v>28</v>
      </c>
      <c r="W247" s="168">
        <f>[1]Eco!$B$111</f>
        <v>28.3</v>
      </c>
      <c r="X247" s="168">
        <f>T247*W247</f>
        <v>792.4</v>
      </c>
    </row>
    <row r="248" spans="17:31" x14ac:dyDescent="0.25">
      <c r="W248" s="14" t="s">
        <v>1155</v>
      </c>
      <c r="X248" s="168">
        <f>SUM(X245:X247)</f>
        <v>792.4</v>
      </c>
    </row>
    <row r="249" spans="17:31" x14ac:dyDescent="0.25">
      <c r="W249" s="14" t="s">
        <v>1156</v>
      </c>
      <c r="X249" s="168">
        <f>ROUND(X246+X247+Protection!AJ5*(([1]Protect!$B$5/[1]Protect!$B$11)+[1]Protect!$B$8),0)</f>
        <v>9835</v>
      </c>
      <c r="AB249" t="s">
        <v>1157</v>
      </c>
    </row>
    <row r="250" spans="17:31" x14ac:dyDescent="0.25">
      <c r="AB250" t="s">
        <v>1158</v>
      </c>
    </row>
    <row r="254" spans="17:31" x14ac:dyDescent="0.25">
      <c r="S254" s="40" t="s">
        <v>1159</v>
      </c>
      <c r="T254" s="4">
        <f>IF(Scénario!K53="OL",Scénario!K55*(1/0.15)*Scénario!K56,0)</f>
        <v>732.00000000000011</v>
      </c>
      <c r="Y254" s="40" t="s">
        <v>1160</v>
      </c>
      <c r="Z254">
        <f>IF(Troupeau!B3="OL",Troupeau!B17,0)</f>
        <v>244</v>
      </c>
    </row>
    <row r="255" spans="17:31" x14ac:dyDescent="0.25">
      <c r="U255" t="s">
        <v>1161</v>
      </c>
      <c r="AA255" t="s">
        <v>1161</v>
      </c>
    </row>
    <row r="256" spans="17:31" x14ac:dyDescent="0.25">
      <c r="S256" s="14" t="s">
        <v>1162</v>
      </c>
      <c r="T256" s="30">
        <f>IF(T254&lt;151,1,0)</f>
        <v>0</v>
      </c>
      <c r="U256" s="168">
        <f>IF(T256=0,0,[1]Protect!$B76)</f>
        <v>0</v>
      </c>
      <c r="Y256" s="14" t="s">
        <v>1163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1164</v>
      </c>
      <c r="T257" s="30">
        <f>IF(AND(150 &lt;T$254,T$254&lt;451),1,0)</f>
        <v>0</v>
      </c>
      <c r="U257" s="168">
        <f>IF(T257=0,0,[1]Protect!$B77)</f>
        <v>0</v>
      </c>
      <c r="Y257" s="14" t="s">
        <v>1165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1166</v>
      </c>
      <c r="T258" s="30">
        <f>IF(AND(540 &lt;T$254,T$254&lt;1201),1,0)</f>
        <v>1</v>
      </c>
      <c r="U258" s="168">
        <f>IF(T258=0,0,[1]Protect!$B78)</f>
        <v>20000</v>
      </c>
      <c r="Y258" s="14" t="s">
        <v>1167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1168</v>
      </c>
      <c r="T259" s="30">
        <f>IF(AND(1200&lt;T$254,T$254&lt;1501),1,0)</f>
        <v>0</v>
      </c>
      <c r="U259" s="168">
        <f>IF(T259=0,0,[1]Protect!$B79)</f>
        <v>0</v>
      </c>
      <c r="Y259" s="14" t="s">
        <v>1169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1170</v>
      </c>
      <c r="T260" s="30">
        <f>IF(1500&lt;T$254,1,0)</f>
        <v>0</v>
      </c>
      <c r="U260" s="168">
        <f>IF(T260=0,0,[1]Protect!$B80)</f>
        <v>0</v>
      </c>
      <c r="Y260" s="14" t="s">
        <v>1171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1172</v>
      </c>
      <c r="V263" s="16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1173</v>
      </c>
      <c r="V264" s="168">
        <f>IF(X$249&lt;SUM(U256:U260),X$249*0.8,SUM(U256:U260))</f>
        <v>7868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1174</v>
      </c>
      <c r="V265" s="168">
        <f>IF(X$249&lt;SUM(AA256:AA260),X$249*0.8,SUM(AA256:AA260))</f>
        <v>7868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1175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1176</v>
      </c>
      <c r="U270" s="33"/>
      <c r="V270" s="33"/>
      <c r="W270" s="33" t="s">
        <v>1177</v>
      </c>
      <c r="X270" s="33" t="s">
        <v>1040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1178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1179</v>
      </c>
      <c r="T272" s="168">
        <f>T234*[1]Protect!$B$17/100</f>
        <v>0</v>
      </c>
      <c r="U272" s="168"/>
      <c r="V272" s="168"/>
      <c r="W272" s="168">
        <f>W234</f>
        <v>6</v>
      </c>
      <c r="X272" s="168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1180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1140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1141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487</v>
      </c>
      <c r="C1" s="252" t="str">
        <f>Scénario!K1</f>
        <v>Z2_OL_T1_C2si</v>
      </c>
      <c r="D1" s="252" t="str">
        <f>CONCATENATE(C1,"_corr")</f>
        <v>Z2_OL_T1_C2si_corr</v>
      </c>
    </row>
    <row r="2" spans="2:4" x14ac:dyDescent="0.25">
      <c r="B2" s="14" t="s">
        <v>488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491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494</v>
      </c>
      <c r="C4" s="172">
        <f>Scénario!K4</f>
        <v>2</v>
      </c>
      <c r="D4" s="172">
        <f t="shared" si="0"/>
        <v>2</v>
      </c>
    </row>
    <row r="5" spans="2:4" x14ac:dyDescent="0.25">
      <c r="B5" s="14" t="s">
        <v>496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499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505</v>
      </c>
      <c r="C7" s="172">
        <f>Scénario!K8</f>
        <v>2</v>
      </c>
      <c r="D7" s="172">
        <f t="shared" si="0"/>
        <v>2</v>
      </c>
    </row>
    <row r="8" spans="2:4" x14ac:dyDescent="0.25">
      <c r="B8" s="14" t="s">
        <v>508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512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516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519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498</v>
      </c>
      <c r="C12" s="172" t="str">
        <f>Scénario!K13</f>
        <v>T1</v>
      </c>
      <c r="D12" s="172" t="str">
        <f t="shared" si="0"/>
        <v>T1</v>
      </c>
    </row>
    <row r="13" spans="2:4" x14ac:dyDescent="0.25">
      <c r="B13" s="32" t="s">
        <v>527</v>
      </c>
      <c r="C13" s="172">
        <f>Scénario!K16</f>
        <v>100</v>
      </c>
      <c r="D13" s="172">
        <f t="shared" si="0"/>
        <v>100</v>
      </c>
    </row>
    <row r="14" spans="2:4" x14ac:dyDescent="0.25">
      <c r="B14" s="14" t="s">
        <v>530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533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535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536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549</v>
      </c>
      <c r="C18" s="172">
        <f>Scénario!K28</f>
        <v>15.5</v>
      </c>
      <c r="D18" s="172">
        <f t="shared" si="0"/>
        <v>15.5</v>
      </c>
    </row>
    <row r="19" spans="2:5" x14ac:dyDescent="0.25">
      <c r="B19" s="14" t="s">
        <v>550</v>
      </c>
      <c r="C19" s="172">
        <f>Scénario!K29</f>
        <v>6.5</v>
      </c>
      <c r="D19" s="172">
        <f t="shared" si="0"/>
        <v>6.5</v>
      </c>
    </row>
    <row r="20" spans="2:5" x14ac:dyDescent="0.25">
      <c r="B20" s="14" t="s">
        <v>551</v>
      </c>
      <c r="C20" s="172">
        <f>Scénario!K30</f>
        <v>2.5</v>
      </c>
      <c r="D20" s="172">
        <f t="shared" si="0"/>
        <v>2.5</v>
      </c>
    </row>
    <row r="21" spans="2:5" x14ac:dyDescent="0.25">
      <c r="B21" s="14" t="s">
        <v>552</v>
      </c>
      <c r="C21" s="172">
        <f>Scénario!K31</f>
        <v>0</v>
      </c>
      <c r="D21" s="172">
        <f t="shared" si="0"/>
        <v>0</v>
      </c>
    </row>
    <row r="22" spans="2:5" x14ac:dyDescent="0.25">
      <c r="B22" s="14" t="s">
        <v>1181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572</v>
      </c>
      <c r="C23" s="172">
        <f>Scénario!K54</f>
        <v>3</v>
      </c>
      <c r="D23" s="172">
        <f t="shared" si="0"/>
        <v>3</v>
      </c>
    </row>
    <row r="24" spans="2:5" x14ac:dyDescent="0.25">
      <c r="B24" s="14" t="s">
        <v>573</v>
      </c>
      <c r="C24" s="172">
        <f>Scénario!K55</f>
        <v>36.6</v>
      </c>
      <c r="D24" s="172">
        <f t="shared" si="0"/>
        <v>36.6</v>
      </c>
    </row>
    <row r="25" spans="2:5" x14ac:dyDescent="0.25">
      <c r="B25" s="14" t="s">
        <v>574</v>
      </c>
      <c r="C25" s="172">
        <f>Scénario!K56</f>
        <v>3</v>
      </c>
      <c r="D25" s="172">
        <f t="shared" si="0"/>
        <v>3</v>
      </c>
    </row>
    <row r="26" spans="2:5" x14ac:dyDescent="0.25">
      <c r="B26" s="14" t="s">
        <v>577</v>
      </c>
      <c r="C26" s="172" t="str">
        <f>Scénario!K57</f>
        <v>4. présence 1 éleveur</v>
      </c>
      <c r="D26" s="172" t="str">
        <f t="shared" si="0"/>
        <v>4. présence 1 éleveur</v>
      </c>
    </row>
    <row r="27" spans="2:5" x14ac:dyDescent="0.25">
      <c r="B27" s="14" t="s">
        <v>580</v>
      </c>
      <c r="C27" s="172">
        <f>Scénario!K58</f>
        <v>2</v>
      </c>
      <c r="D27" s="172">
        <f t="shared" si="0"/>
        <v>2</v>
      </c>
    </row>
    <row r="28" spans="2:5" x14ac:dyDescent="0.25">
      <c r="B28" s="14" t="s">
        <v>582</v>
      </c>
      <c r="C28" s="172">
        <f>Scénario!K59</f>
        <v>2</v>
      </c>
      <c r="D28" s="172">
        <f t="shared" si="0"/>
        <v>2</v>
      </c>
    </row>
    <row r="29" spans="2:5" x14ac:dyDescent="0.25">
      <c r="B29" s="14" t="s">
        <v>568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584</v>
      </c>
      <c r="C30" s="172" t="str">
        <f>Scénario!K60</f>
        <v>BV</v>
      </c>
      <c r="D30" s="172" t="str">
        <f t="shared" si="0"/>
        <v>BV</v>
      </c>
    </row>
    <row r="31" spans="2:5" x14ac:dyDescent="0.25">
      <c r="B31" s="14" t="s">
        <v>587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589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590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1182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593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594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595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596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597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598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599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1183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604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606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1184</v>
      </c>
      <c r="C45" s="172" t="str">
        <f>Scénario!K78</f>
        <v>BV</v>
      </c>
      <c r="D45" s="172" t="str">
        <f t="shared" si="0"/>
        <v>BV</v>
      </c>
      <c r="E45" s="14"/>
    </row>
    <row r="46" spans="2:5" x14ac:dyDescent="0.25">
      <c r="B46" s="14" t="s">
        <v>609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610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1185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613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616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626</v>
      </c>
      <c r="C51" s="172">
        <f>Scénario!K87</f>
        <v>0</v>
      </c>
      <c r="D51" s="172">
        <f t="shared" si="0"/>
        <v>0</v>
      </c>
      <c r="E51" s="14"/>
    </row>
    <row r="52" spans="1:132" x14ac:dyDescent="0.25">
      <c r="B52" s="19" t="s">
        <v>603</v>
      </c>
      <c r="C52" s="172">
        <f>Scénario!K84</f>
        <v>0</v>
      </c>
      <c r="D52" s="172">
        <f t="shared" si="0"/>
        <v>0</v>
      </c>
      <c r="E52" s="14"/>
    </row>
    <row r="53" spans="1:132" x14ac:dyDescent="0.25">
      <c r="B53" s="14" t="s">
        <v>614</v>
      </c>
      <c r="C53" s="172">
        <f>Scénario!K88</f>
        <v>0</v>
      </c>
      <c r="D53" s="172">
        <f t="shared" si="0"/>
        <v>0</v>
      </c>
      <c r="E53" s="14"/>
    </row>
    <row r="54" spans="1:132" x14ac:dyDescent="0.25">
      <c r="B54" s="14" t="s">
        <v>631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631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612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1186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633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634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644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646</v>
      </c>
      <c r="C61" s="172">
        <f>Scénario!K129</f>
        <v>0</v>
      </c>
      <c r="D61" s="172">
        <f t="shared" si="0"/>
        <v>0</v>
      </c>
      <c r="E61" s="14"/>
    </row>
    <row r="62" spans="1:132" x14ac:dyDescent="0.25">
      <c r="A62" s="2" t="s">
        <v>1187</v>
      </c>
      <c r="B62" s="14" t="s">
        <v>1188</v>
      </c>
      <c r="C62" s="168" t="str">
        <f>Scénario!K12</f>
        <v>OL</v>
      </c>
      <c r="D62" s="168" t="str">
        <f>C62</f>
        <v>OL</v>
      </c>
      <c r="AS62" s="40" t="s">
        <v>570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584</v>
      </c>
      <c r="BZ62" s="168" t="str">
        <f>Troupeau!C3</f>
        <v>BV</v>
      </c>
      <c r="CA62" s="168">
        <f>IF(BZ62="OL",1,IF(BZ62="BV",2,IF(BZ62="BL",3,IF(BZ62="EQ",4,0))))</f>
        <v>2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591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1189</v>
      </c>
      <c r="C63" s="168">
        <f>IF(Troupeau!B3="OL",Troupeau!B17,0)</f>
        <v>244</v>
      </c>
      <c r="D63" s="253">
        <f>ROUND(C63*$D$82/$C$82,3)</f>
        <v>0</v>
      </c>
      <c r="F63" s="254" t="s">
        <v>1190</v>
      </c>
      <c r="G63">
        <f>D82/C82</f>
        <v>0</v>
      </c>
      <c r="AT63" s="2" t="s">
        <v>781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1191</v>
      </c>
      <c r="C64" s="168">
        <f>IF(Troupeau!B3="BL",Troupeau!B17,0)</f>
        <v>0</v>
      </c>
      <c r="D64" s="253">
        <f t="shared" ref="D64:D66" si="1">ROUND(C64*$D$82/$C$82,3)</f>
        <v>0</v>
      </c>
      <c r="F64" s="182" t="s">
        <v>1192</v>
      </c>
      <c r="AT64" s="182" t="str">
        <f>AT87</f>
        <v>Brebis  lot princ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1193</v>
      </c>
      <c r="C65" s="168">
        <f>IF(Troupeau!B3="BV",Troupeau!B17,0)+IF(Troupeau!C3="BV",Troupeau!C17,0)</f>
        <v>0</v>
      </c>
      <c r="D65" s="253">
        <f t="shared" si="1"/>
        <v>0</v>
      </c>
      <c r="F65" s="255" t="s">
        <v>1194</v>
      </c>
      <c r="AT65" s="182" t="str">
        <f t="shared" ref="AT65:AT73" si="2">AT88</f>
        <v>Brebis tardives + antenaises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1195</v>
      </c>
      <c r="C66" s="168">
        <f>IF(Troupeau!D3="EQ",Troupeau!D17,0)+IF(Troupeau!C3="EQ",Troupeau!C17,0)</f>
        <v>0</v>
      </c>
      <c r="D66" s="253">
        <f t="shared" si="1"/>
        <v>0</v>
      </c>
      <c r="AT66" s="182" t="str">
        <f t="shared" si="2"/>
        <v>Brebis vides + agnelles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1196</v>
      </c>
      <c r="C67" s="168">
        <f>CdTrp1!AA49</f>
        <v>37.813393501805052</v>
      </c>
      <c r="D67" s="253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1197</v>
      </c>
      <c r="C68" s="168">
        <f>CdTrp2!AA49</f>
        <v>0</v>
      </c>
      <c r="D68" s="253">
        <f>ROUND(C68*$D$82/$C$82,3)</f>
        <v>0</v>
      </c>
      <c r="AT68" s="182" t="str">
        <f t="shared" si="2"/>
        <v>lot5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1198</v>
      </c>
      <c r="C69" s="168">
        <f>CdTrp3!AA49</f>
        <v>0</v>
      </c>
      <c r="D69" s="253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1199</v>
      </c>
      <c r="C70" s="168">
        <f>SUM(C67:C69)</f>
        <v>37.813393501805052</v>
      </c>
      <c r="D70" s="253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1200</v>
      </c>
      <c r="C71" s="168">
        <f>Scénario!K33</f>
        <v>0</v>
      </c>
      <c r="D71" s="253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1201</v>
      </c>
      <c r="C72" s="168">
        <f>'Calcul éco'!$AA$228</f>
        <v>0</v>
      </c>
      <c r="D72" s="253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1202</v>
      </c>
      <c r="C73" s="168">
        <f>'Calcul éco'!$AC$228</f>
        <v>0</v>
      </c>
      <c r="D73" s="253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1203</v>
      </c>
      <c r="C74" s="168">
        <f>C71+C73</f>
        <v>0</v>
      </c>
      <c r="D74" s="253">
        <f t="shared" si="3"/>
        <v>0</v>
      </c>
      <c r="AT74" s="2" t="s">
        <v>785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1204</v>
      </c>
      <c r="C75" s="168">
        <f>'Alim -Surf'!$O$7+'Alim -Surf'!$O$29-C72-C73</f>
        <v>17</v>
      </c>
      <c r="D75" s="253">
        <f t="shared" si="3"/>
        <v>0</v>
      </c>
      <c r="AT75" s="182" t="str">
        <f t="shared" ref="AT75:AT82" si="4">AT87</f>
        <v>Brebis  lot princ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1205</v>
      </c>
      <c r="C76" s="168">
        <f>'Calcul éco'!AO166</f>
        <v>0</v>
      </c>
      <c r="D76" s="253">
        <f t="shared" si="3"/>
        <v>0</v>
      </c>
      <c r="AT76" s="182" t="str">
        <f t="shared" si="4"/>
        <v>Brebis tardives + antenaises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1206</v>
      </c>
      <c r="C77" s="168">
        <f>'Calcul éco'!AO169</f>
        <v>0</v>
      </c>
      <c r="D77" s="253">
        <f t="shared" si="3"/>
        <v>0</v>
      </c>
      <c r="AT77" s="182" t="str">
        <f t="shared" si="4"/>
        <v>Brebis vides + agnelles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1207</v>
      </c>
      <c r="C78" s="168">
        <f>'Calcul éco'!AO165</f>
        <v>14.5</v>
      </c>
      <c r="D78" s="253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1208</v>
      </c>
      <c r="C79" s="168">
        <f>'Calcul éco'!AO168</f>
        <v>2.5</v>
      </c>
      <c r="D79" s="253">
        <f t="shared" si="3"/>
        <v>0</v>
      </c>
      <c r="AT79" s="182" t="str">
        <f t="shared" si="4"/>
        <v>lot5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1209</v>
      </c>
      <c r="C80" s="168">
        <f>'Calcul éco'!AO171</f>
        <v>1.3</v>
      </c>
      <c r="D80" s="253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1210</v>
      </c>
      <c r="C81" s="168">
        <f>C74+C75</f>
        <v>17</v>
      </c>
      <c r="D81" s="253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1211</v>
      </c>
      <c r="C82" s="168">
        <f>C81+C80</f>
        <v>18.3</v>
      </c>
      <c r="D82" s="80"/>
      <c r="E82" s="85" t="s">
        <v>1212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1213</v>
      </c>
      <c r="C83" s="168">
        <f>Scénario!K4+Scénario!K6</f>
        <v>2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1214</v>
      </c>
      <c r="C84" s="168">
        <f>ROUND(C70/C82,3)</f>
        <v>2.0659999999999998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1215</v>
      </c>
      <c r="B85" s="14" t="s">
        <v>1216</v>
      </c>
      <c r="C85" s="168">
        <f>'Calcul éco'!$U$228</f>
        <v>15.5</v>
      </c>
      <c r="D85" s="256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1217</v>
      </c>
      <c r="C86" s="168">
        <f>'Calcul éco'!$V$228</f>
        <v>6.5</v>
      </c>
      <c r="D86" s="256">
        <f t="shared" ref="D86:D97" si="14">ROUND(C86*$D$82/$C$82,3)</f>
        <v>0</v>
      </c>
      <c r="AT86" s="184" t="s">
        <v>794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794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794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1218</v>
      </c>
      <c r="C87" s="168">
        <f>'Calcul éco'!$W$228</f>
        <v>2.5</v>
      </c>
      <c r="D87" s="256">
        <f t="shared" si="14"/>
        <v>0</v>
      </c>
      <c r="AT87" s="182" t="str">
        <f>CdTrp1!A15</f>
        <v>Brebis  lot princ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795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565</v>
      </c>
      <c r="C88" s="168">
        <f>Scénario!K43</f>
        <v>0</v>
      </c>
      <c r="D88" s="256">
        <f t="shared" si="14"/>
        <v>0</v>
      </c>
      <c r="AT88" s="182" t="str">
        <f>CdTrp1!A16</f>
        <v>Brebis tardives + antenaises</v>
      </c>
      <c r="AU88" s="185" t="str">
        <f>Scénario!K97</f>
        <v>faible</v>
      </c>
      <c r="AV88" s="168">
        <f t="shared" si="15"/>
        <v>1</v>
      </c>
      <c r="AW88" s="168">
        <f t="shared" si="15"/>
        <v>1</v>
      </c>
      <c r="AX88" s="168">
        <f t="shared" si="15"/>
        <v>1</v>
      </c>
      <c r="AY88" s="168">
        <f t="shared" si="15"/>
        <v>1</v>
      </c>
      <c r="AZ88" s="168">
        <f t="shared" si="15"/>
        <v>1</v>
      </c>
      <c r="BA88" s="168">
        <f t="shared" si="15"/>
        <v>1</v>
      </c>
      <c r="BB88" s="168">
        <f t="shared" si="15"/>
        <v>1</v>
      </c>
      <c r="BC88" s="168">
        <f t="shared" si="15"/>
        <v>1</v>
      </c>
      <c r="BD88" s="168">
        <f t="shared" si="15"/>
        <v>1</v>
      </c>
      <c r="BE88" s="168">
        <f t="shared" si="15"/>
        <v>1</v>
      </c>
      <c r="BF88" s="168">
        <f t="shared" si="15"/>
        <v>1</v>
      </c>
      <c r="BG88" s="168">
        <f t="shared" si="15"/>
        <v>1</v>
      </c>
      <c r="BH88" s="168">
        <f t="shared" si="15"/>
        <v>1</v>
      </c>
      <c r="BI88" s="168">
        <f t="shared" si="15"/>
        <v>1</v>
      </c>
      <c r="BJ88" s="168">
        <f t="shared" si="15"/>
        <v>1</v>
      </c>
      <c r="BK88" s="168">
        <f t="shared" si="15"/>
        <v>1</v>
      </c>
      <c r="BL88" s="168">
        <f t="shared" si="16"/>
        <v>1</v>
      </c>
      <c r="BM88" s="168">
        <f t="shared" si="16"/>
        <v>1</v>
      </c>
      <c r="BN88" s="168">
        <f t="shared" si="16"/>
        <v>1</v>
      </c>
      <c r="BO88" s="168">
        <f t="shared" si="16"/>
        <v>1</v>
      </c>
      <c r="BP88" s="168">
        <f t="shared" si="16"/>
        <v>1</v>
      </c>
      <c r="BQ88" s="168">
        <f t="shared" si="16"/>
        <v>1</v>
      </c>
      <c r="BR88" s="168">
        <f t="shared" si="16"/>
        <v>1</v>
      </c>
      <c r="BS88" s="168">
        <f t="shared" si="16"/>
        <v>1</v>
      </c>
      <c r="BU88">
        <v>2</v>
      </c>
      <c r="BV88" t="s">
        <v>640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1</v>
      </c>
      <c r="CC88" s="168">
        <f t="shared" si="18"/>
        <v>1</v>
      </c>
      <c r="CD88" s="168">
        <f t="shared" si="18"/>
        <v>1</v>
      </c>
      <c r="CE88" s="168">
        <f t="shared" si="18"/>
        <v>1</v>
      </c>
      <c r="CF88" s="168">
        <f t="shared" si="18"/>
        <v>1</v>
      </c>
      <c r="CG88" s="168">
        <f t="shared" si="18"/>
        <v>1</v>
      </c>
      <c r="CH88" s="168">
        <f t="shared" si="18"/>
        <v>1</v>
      </c>
      <c r="CI88" s="168">
        <f t="shared" si="18"/>
        <v>1</v>
      </c>
      <c r="CJ88" s="168">
        <f t="shared" si="18"/>
        <v>1</v>
      </c>
      <c r="CK88" s="168">
        <f t="shared" si="18"/>
        <v>1</v>
      </c>
      <c r="CL88" s="168">
        <f t="shared" si="18"/>
        <v>1</v>
      </c>
      <c r="CM88" s="168">
        <f t="shared" si="18"/>
        <v>1</v>
      </c>
      <c r="CN88" s="168">
        <f t="shared" si="18"/>
        <v>1</v>
      </c>
      <c r="CO88" s="168">
        <f t="shared" si="18"/>
        <v>1</v>
      </c>
      <c r="CP88" s="168">
        <f t="shared" si="18"/>
        <v>1</v>
      </c>
      <c r="CQ88" s="168">
        <f t="shared" si="18"/>
        <v>1</v>
      </c>
      <c r="CR88" s="168">
        <f t="shared" si="18"/>
        <v>1</v>
      </c>
      <c r="CS88" s="168">
        <f t="shared" si="18"/>
        <v>1</v>
      </c>
      <c r="CT88" s="168">
        <f t="shared" si="18"/>
        <v>1</v>
      </c>
      <c r="CU88" s="168">
        <f t="shared" si="18"/>
        <v>1</v>
      </c>
      <c r="CV88" s="168">
        <f t="shared" si="18"/>
        <v>1</v>
      </c>
      <c r="CW88" s="168">
        <f t="shared" si="18"/>
        <v>1</v>
      </c>
      <c r="CX88" s="168">
        <f t="shared" si="18"/>
        <v>1</v>
      </c>
      <c r="CY88" s="168">
        <f t="shared" si="18"/>
        <v>1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554</v>
      </c>
      <c r="C89" s="168">
        <f>Scénario!K32</f>
        <v>1.3</v>
      </c>
      <c r="D89" s="256">
        <f t="shared" si="14"/>
        <v>0</v>
      </c>
      <c r="AT89" s="182" t="str">
        <f>CdTrp1!A17</f>
        <v>Brebis vides + agnelles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641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1219</v>
      </c>
      <c r="B90" s="14" t="s">
        <v>305</v>
      </c>
      <c r="C90" s="168">
        <f>Scénario!K34</f>
        <v>0</v>
      </c>
      <c r="D90" s="256">
        <f t="shared" si="14"/>
        <v>0</v>
      </c>
      <c r="G90" s="85" t="s">
        <v>1220</v>
      </c>
      <c r="AT90" s="182" t="str">
        <f>CdTrp1!A18</f>
        <v>Béliers</v>
      </c>
      <c r="AU90" s="185" t="str">
        <f>Scénario!K99</f>
        <v>faible</v>
      </c>
      <c r="AV90" s="168">
        <f t="shared" si="15"/>
        <v>1</v>
      </c>
      <c r="AW90" s="168">
        <f t="shared" si="15"/>
        <v>1</v>
      </c>
      <c r="AX90" s="168">
        <f t="shared" si="15"/>
        <v>1</v>
      </c>
      <c r="AY90" s="168">
        <f t="shared" si="15"/>
        <v>1</v>
      </c>
      <c r="AZ90" s="168">
        <f t="shared" si="15"/>
        <v>1</v>
      </c>
      <c r="BA90" s="168">
        <f t="shared" si="15"/>
        <v>1</v>
      </c>
      <c r="BB90" s="168">
        <f t="shared" si="15"/>
        <v>1</v>
      </c>
      <c r="BC90" s="168">
        <f t="shared" si="15"/>
        <v>1</v>
      </c>
      <c r="BD90" s="168">
        <f t="shared" si="15"/>
        <v>1</v>
      </c>
      <c r="BE90" s="168">
        <f t="shared" si="15"/>
        <v>1</v>
      </c>
      <c r="BF90" s="168">
        <f t="shared" si="15"/>
        <v>1</v>
      </c>
      <c r="BG90" s="168">
        <f t="shared" si="15"/>
        <v>1</v>
      </c>
      <c r="BH90" s="168">
        <f t="shared" si="15"/>
        <v>1</v>
      </c>
      <c r="BI90" s="168">
        <f t="shared" si="15"/>
        <v>1</v>
      </c>
      <c r="BJ90" s="168">
        <f t="shared" si="15"/>
        <v>1</v>
      </c>
      <c r="BK90" s="168">
        <f t="shared" si="15"/>
        <v>1</v>
      </c>
      <c r="BL90" s="168">
        <f t="shared" si="16"/>
        <v>1</v>
      </c>
      <c r="BM90" s="168">
        <f t="shared" si="16"/>
        <v>1</v>
      </c>
      <c r="BN90" s="168">
        <f t="shared" si="16"/>
        <v>1</v>
      </c>
      <c r="BO90" s="168">
        <f t="shared" si="16"/>
        <v>1</v>
      </c>
      <c r="BP90" s="168">
        <f t="shared" si="16"/>
        <v>1</v>
      </c>
      <c r="BQ90" s="168">
        <f t="shared" si="16"/>
        <v>1</v>
      </c>
      <c r="BR90" s="168">
        <f t="shared" si="16"/>
        <v>1</v>
      </c>
      <c r="BS90" s="168">
        <f t="shared" si="16"/>
        <v>1</v>
      </c>
      <c r="BZ90" s="182" t="str">
        <f t="shared" si="17"/>
        <v>lot4</v>
      </c>
      <c r="CA90" s="185">
        <f>Scénario!K109</f>
        <v>0</v>
      </c>
      <c r="CB90" s="168">
        <f t="shared" si="21"/>
        <v>1</v>
      </c>
      <c r="CC90" s="168">
        <f t="shared" si="18"/>
        <v>1</v>
      </c>
      <c r="CD90" s="168">
        <f t="shared" si="18"/>
        <v>1</v>
      </c>
      <c r="CE90" s="168">
        <f t="shared" si="18"/>
        <v>1</v>
      </c>
      <c r="CF90" s="168">
        <f t="shared" si="18"/>
        <v>1</v>
      </c>
      <c r="CG90" s="168">
        <f t="shared" si="18"/>
        <v>1</v>
      </c>
      <c r="CH90" s="168">
        <f t="shared" si="18"/>
        <v>1</v>
      </c>
      <c r="CI90" s="168">
        <f t="shared" si="18"/>
        <v>1</v>
      </c>
      <c r="CJ90" s="168">
        <f t="shared" si="18"/>
        <v>1</v>
      </c>
      <c r="CK90" s="168">
        <f t="shared" si="18"/>
        <v>1</v>
      </c>
      <c r="CL90" s="168">
        <f t="shared" si="18"/>
        <v>1</v>
      </c>
      <c r="CM90" s="168">
        <f t="shared" si="18"/>
        <v>1</v>
      </c>
      <c r="CN90" s="168">
        <f t="shared" si="18"/>
        <v>1</v>
      </c>
      <c r="CO90" s="168">
        <f t="shared" si="18"/>
        <v>1</v>
      </c>
      <c r="CP90" s="168">
        <f t="shared" si="18"/>
        <v>1</v>
      </c>
      <c r="CQ90" s="168">
        <f t="shared" si="18"/>
        <v>1</v>
      </c>
      <c r="CR90" s="168">
        <f t="shared" si="18"/>
        <v>1</v>
      </c>
      <c r="CS90" s="168">
        <f t="shared" si="18"/>
        <v>1</v>
      </c>
      <c r="CT90" s="168">
        <f t="shared" si="18"/>
        <v>1</v>
      </c>
      <c r="CU90" s="168">
        <f t="shared" si="18"/>
        <v>1</v>
      </c>
      <c r="CV90" s="168">
        <f t="shared" si="18"/>
        <v>1</v>
      </c>
      <c r="CW90" s="168">
        <f t="shared" si="18"/>
        <v>1</v>
      </c>
      <c r="CX90" s="168">
        <f t="shared" si="18"/>
        <v>1</v>
      </c>
      <c r="CY90" s="168">
        <f t="shared" si="18"/>
        <v>1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557</v>
      </c>
      <c r="C91" s="168">
        <f>Scénario!K35</f>
        <v>0</v>
      </c>
      <c r="D91" s="256">
        <f t="shared" si="14"/>
        <v>0</v>
      </c>
      <c r="AT91" s="182" t="str">
        <f>CdTrp1!A19</f>
        <v>lot5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558</v>
      </c>
      <c r="C92" s="168">
        <f>Scénario!K36</f>
        <v>0</v>
      </c>
      <c r="D92" s="256">
        <f t="shared" si="14"/>
        <v>0</v>
      </c>
      <c r="G92" s="2" t="s">
        <v>1221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559</v>
      </c>
      <c r="C93" s="168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560</v>
      </c>
      <c r="C94" s="168">
        <f>Scénario!K38</f>
        <v>0</v>
      </c>
      <c r="D94" s="256">
        <f t="shared" si="14"/>
        <v>0</v>
      </c>
      <c r="F94" s="14" t="s">
        <v>921</v>
      </c>
      <c r="G94" s="30" t="str">
        <f>CdTrp1!A88</f>
        <v>Brebis  lot princ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1222</v>
      </c>
      <c r="C95" s="168">
        <f>'Calcul éco'!B39</f>
        <v>0</v>
      </c>
      <c r="D95" s="256">
        <f>ROUND(C95*$D$82/$C$82,3)</f>
        <v>0</v>
      </c>
      <c r="F95" s="14"/>
      <c r="G95" s="257" t="str">
        <f>CdTrp1!A89</f>
        <v>Brebis tardives + antenaises</v>
      </c>
      <c r="H95" s="30">
        <f>CdTrp1!B77</f>
        <v>0</v>
      </c>
      <c r="I95" s="30">
        <f>CdTrp1!C77</f>
        <v>0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561</v>
      </c>
      <c r="C96" s="168">
        <f>Scénario!K39</f>
        <v>0</v>
      </c>
      <c r="D96" s="256">
        <f t="shared" si="14"/>
        <v>0</v>
      </c>
      <c r="F96" s="14"/>
      <c r="G96" s="257" t="str">
        <f>CdTrp1!A90</f>
        <v>Brebis vides + 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1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1223</v>
      </c>
      <c r="B97" s="14" t="s">
        <v>1224</v>
      </c>
      <c r="C97" s="168">
        <f>C90+C75+C73</f>
        <v>17</v>
      </c>
      <c r="D97" s="256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755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755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1225</v>
      </c>
      <c r="B98" s="14" t="s">
        <v>1226</v>
      </c>
      <c r="C98" s="168">
        <f>MAX(H129:AE129)</f>
        <v>4</v>
      </c>
      <c r="D98" s="168">
        <f>C98</f>
        <v>4</v>
      </c>
      <c r="F98" s="14"/>
      <c r="G98" s="257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Brebis  lot princ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1</v>
      </c>
      <c r="BH98" s="168">
        <f>IF(CdTrp1!N52=1,3,IF(CdTrp1!N52=0.5,2,IF(CdTrp1!N52=0,1,0)))</f>
        <v>1</v>
      </c>
      <c r="BI98" s="168">
        <f>IF(CdTrp1!O52=1,3,IF(CdTrp1!O52=0.5,2,IF(CdTrp1!O52=0,1,0)))</f>
        <v>1</v>
      </c>
      <c r="BJ98" s="168">
        <f>IF(CdTrp1!P52=1,3,IF(CdTrp1!P52=0.5,2,IF(CdTrp1!P52=0,1,0)))</f>
        <v>1</v>
      </c>
      <c r="BK98" s="168">
        <f>IF(CdTrp1!Q52=1,3,IF(CdTrp1!Q52=0.5,2,IF(CdTrp1!Q52=0,1,0)))</f>
        <v>1</v>
      </c>
      <c r="BL98" s="168">
        <f>IF(CdTrp1!R52=1,3,IF(CdTrp1!R52=0.5,2,IF(CdTrp1!R52=0,1,0)))</f>
        <v>1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803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1227</v>
      </c>
      <c r="B99" s="14" t="s">
        <v>1228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Brebis tardives + antenaises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2</v>
      </c>
      <c r="AY99" s="168">
        <f>IF(CdTrp1!E53=1,3,IF(CdTrp1!E53=0.5,2,IF(CdTrp1!E53=0,1,0)))</f>
        <v>2</v>
      </c>
      <c r="AZ99" s="168">
        <f>IF(CdTrp1!F53=1,3,IF(CdTrp1!F53=0.5,2,IF(CdTrp1!F53=0,1,0)))</f>
        <v>2</v>
      </c>
      <c r="BA99" s="168">
        <f>IF(CdTrp1!G53=1,3,IF(CdTrp1!G53=0.5,2,IF(CdTrp1!G53=0,1,0)))</f>
        <v>2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2</v>
      </c>
      <c r="BE99" s="168">
        <f>IF(CdTrp1!K53=1,3,IF(CdTrp1!K53=0.5,2,IF(CdTrp1!K53=0,1,0)))</f>
        <v>0</v>
      </c>
      <c r="BF99" s="168">
        <f>IF(CdTrp1!L53=1,3,IF(CdTrp1!L53=0.5,2,IF(CdTrp1!L53=0,1,0)))</f>
        <v>0</v>
      </c>
      <c r="BG99" s="168">
        <f>IF(CdTrp1!M53=1,3,IF(CdTrp1!M53=0.5,2,IF(CdTrp1!M53=0,1,0)))</f>
        <v>0</v>
      </c>
      <c r="BH99" s="168">
        <f>IF(CdTrp1!N53=1,3,IF(CdTrp1!N53=0.5,2,IF(CdTrp1!N53=0,1,0)))</f>
        <v>0</v>
      </c>
      <c r="BI99" s="168">
        <f>IF(CdTrp1!O53=1,3,IF(CdTrp1!O53=0.5,2,IF(CdTrp1!O53=0,1,0)))</f>
        <v>0</v>
      </c>
      <c r="BJ99" s="168">
        <f>IF(CdTrp1!P53=1,3,IF(CdTrp1!P53=0.5,2,IF(CdTrp1!P53=0,1,0)))</f>
        <v>0</v>
      </c>
      <c r="BK99" s="168">
        <f>IF(CdTrp1!Q53=1,3,IF(CdTrp1!Q53=0.5,2,IF(CdTrp1!Q53=0,1,0)))</f>
        <v>0</v>
      </c>
      <c r="BL99" s="168">
        <f>IF(CdTrp1!R53=1,3,IF(CdTrp1!R53=0.5,2,IF(CdTrp1!R53=0,1,0)))</f>
        <v>0</v>
      </c>
      <c r="BM99" s="168">
        <f>IF(CdTrp1!S53=1,3,IF(CdTrp1!S53=0.5,2,IF(CdTrp1!S53=0,1,0)))</f>
        <v>0</v>
      </c>
      <c r="BN99" s="168">
        <f>IF(CdTrp1!T53=1,3,IF(CdTrp1!T53=0.5,2,IF(CdTrp1!T53=0,1,0)))</f>
        <v>0</v>
      </c>
      <c r="BO99" s="168">
        <f>IF(CdTrp1!U53=1,3,IF(CdTrp1!U53=0.5,2,IF(CdTrp1!U53=0,1,0)))</f>
        <v>0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807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1229</v>
      </c>
      <c r="B100" s="14" t="s">
        <v>1230</v>
      </c>
      <c r="C100" s="168">
        <f>MAX(H131:AE131)</f>
        <v>0</v>
      </c>
      <c r="D100" s="168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Brebis vides + agnelles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2</v>
      </c>
      <c r="AY100" s="168">
        <f>IF(CdTrp1!E54=1,3,IF(CdTrp1!E54=0.5,2,IF(CdTrp1!E54=0,1,0)))</f>
        <v>2</v>
      </c>
      <c r="AZ100" s="168">
        <f>IF(CdTrp1!F54=1,3,IF(CdTrp1!F54=0.5,2,IF(CdTrp1!F54=0,1,0)))</f>
        <v>2</v>
      </c>
      <c r="BA100" s="168">
        <f>IF(CdTrp1!G54=1,3,IF(CdTrp1!G54=0.5,2,IF(CdTrp1!G54=0,1,0)))</f>
        <v>2</v>
      </c>
      <c r="BB100" s="168">
        <f>IF(CdTrp1!H54=1,3,IF(CdTrp1!H54=0.5,2,IF(CdTrp1!H54=0,1,0)))</f>
        <v>2</v>
      </c>
      <c r="BC100" s="168">
        <f>IF(CdTrp1!I54=1,3,IF(CdTrp1!I54=0.5,2,IF(CdTrp1!I54=0,1,0)))</f>
        <v>2</v>
      </c>
      <c r="BD100" s="168">
        <f>IF(CdTrp1!J54=1,3,IF(CdTrp1!J54=0.5,2,IF(CdTrp1!J54=0,1,0)))</f>
        <v>2</v>
      </c>
      <c r="BE100" s="168">
        <f>IF(CdTrp1!K54=1,3,IF(CdTrp1!K54=0.5,2,IF(CdTrp1!K54=0,1,0)))</f>
        <v>2</v>
      </c>
      <c r="BF100" s="168">
        <f>IF(CdTrp1!L54=1,3,IF(CdTrp1!L54=0.5,2,IF(CdTrp1!L54=0,1,0)))</f>
        <v>2</v>
      </c>
      <c r="BG100" s="168">
        <f>IF(CdTrp1!M54=1,3,IF(CdTrp1!M54=0.5,2,IF(CdTrp1!M54=0,1,0)))</f>
        <v>1</v>
      </c>
      <c r="BH100" s="168">
        <f>IF(CdTrp1!N54=1,3,IF(CdTrp1!N54=0.5,2,IF(CdTrp1!N54=0,1,0)))</f>
        <v>1</v>
      </c>
      <c r="BI100" s="168">
        <f>IF(CdTrp1!O54=1,3,IF(CdTrp1!O54=0.5,2,IF(CdTrp1!O54=0,1,0)))</f>
        <v>1</v>
      </c>
      <c r="BJ100" s="168">
        <f>IF(CdTrp1!P54=1,3,IF(CdTrp1!P54=0.5,2,IF(CdTrp1!P54=0,1,0)))</f>
        <v>1</v>
      </c>
      <c r="BK100" s="168">
        <f>IF(CdTrp1!Q54=1,3,IF(CdTrp1!Q54=0.5,2,IF(CdTrp1!Q54=0,1,0)))</f>
        <v>2</v>
      </c>
      <c r="BL100" s="168">
        <f>IF(CdTrp1!R54=1,3,IF(CdTrp1!R54=0.5,2,IF(CdTrp1!R54=0,1,0)))</f>
        <v>2</v>
      </c>
      <c r="BM100" s="168">
        <f>IF(CdTrp1!S54=1,3,IF(CdTrp1!S54=0.5,2,IF(CdTrp1!S54=0,1,0)))</f>
        <v>2</v>
      </c>
      <c r="BN100" s="168">
        <f>IF(CdTrp1!T54=1,3,IF(CdTrp1!T54=0.5,2,IF(CdTrp1!T54=0,1,0)))</f>
        <v>2</v>
      </c>
      <c r="BO100" s="168">
        <f>IF(CdTrp1!U54=1,3,IF(CdTrp1!U54=0.5,2,IF(CdTrp1!U54=0,1,0)))</f>
        <v>2</v>
      </c>
      <c r="BP100" s="168">
        <f>IF(CdTrp1!V54=1,3,IF(CdTrp1!V54=0.5,2,IF(CdTrp1!V54=0,1,0)))</f>
        <v>2</v>
      </c>
      <c r="BQ100" s="168">
        <f>IF(CdTrp1!W54=1,3,IF(CdTrp1!W54=0.5,2,IF(CdTrp1!W54=0,1,0)))</f>
        <v>2</v>
      </c>
      <c r="BR100" s="168">
        <f>IF(CdTrp1!X54=1,3,IF(CdTrp1!X54=0.5,2,IF(CdTrp1!X54=0,1,0)))</f>
        <v>2</v>
      </c>
      <c r="BS100" s="168">
        <f>IF(CdTrp1!Y54=1,3,IF(CdTrp1!Y54=0.5,2,IF(CdTrp1!Y54=0,1,0)))</f>
        <v>3</v>
      </c>
      <c r="BU100">
        <v>1</v>
      </c>
      <c r="BV100" t="s">
        <v>808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1231</v>
      </c>
      <c r="C101" s="168">
        <f>MAX(H132:AE132)</f>
        <v>4</v>
      </c>
      <c r="D101" s="168">
        <f t="shared" si="25"/>
        <v>4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2</v>
      </c>
      <c r="BB101" s="168">
        <f>IF(CdTrp1!H55=1,3,IF(CdTrp1!H55=0.5,2,IF(CdTrp1!H55=0,1,0)))</f>
        <v>2</v>
      </c>
      <c r="BC101" s="168">
        <f>IF(CdTrp1!I55=1,3,IF(CdTrp1!I55=0.5,2,IF(CdTrp1!I55=0,1,0)))</f>
        <v>2</v>
      </c>
      <c r="BD101" s="168">
        <f>IF(CdTrp1!J55=1,3,IF(CdTrp1!J55=0.5,2,IF(CdTrp1!J55=0,1,0)))</f>
        <v>2</v>
      </c>
      <c r="BE101" s="168">
        <f>IF(CdTrp1!K55=1,3,IF(CdTrp1!K55=0.5,2,IF(CdTrp1!K55=0,1,0)))</f>
        <v>2</v>
      </c>
      <c r="BF101" s="168">
        <f>IF(CdTrp1!L55=1,3,IF(CdTrp1!L55=0.5,2,IF(CdTrp1!L55=0,1,0)))</f>
        <v>0</v>
      </c>
      <c r="BG101" s="168">
        <f>IF(CdTrp1!M55=1,3,IF(CdTrp1!M55=0.5,2,IF(CdTrp1!M55=0,1,0)))</f>
        <v>0</v>
      </c>
      <c r="BH101" s="168">
        <f>IF(CdTrp1!N55=1,3,IF(CdTrp1!N55=0.5,2,IF(CdTrp1!N55=0,1,0)))</f>
        <v>0</v>
      </c>
      <c r="BI101" s="168">
        <f>IF(CdTrp1!O55=1,3,IF(CdTrp1!O55=0.5,2,IF(CdTrp1!O55=0,1,0)))</f>
        <v>0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3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1232</v>
      </c>
      <c r="C102" s="168">
        <f>(24-COUNTIF(H129:AE129,0))/2</f>
        <v>10</v>
      </c>
      <c r="D102" s="168">
        <f t="shared" si="25"/>
        <v>10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lot5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1233</v>
      </c>
      <c r="C103" s="168">
        <f>(24-COUNTIF(H130:AE130,0))/2</f>
        <v>0</v>
      </c>
      <c r="D103" s="168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1234</v>
      </c>
      <c r="C104" s="168">
        <f>(24-COUNTIF(H131:AE131,0))/2</f>
        <v>0</v>
      </c>
      <c r="D104" s="168">
        <f t="shared" si="25"/>
        <v>0</v>
      </c>
      <c r="F104" s="14" t="s">
        <v>937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1235</v>
      </c>
      <c r="C105" s="168">
        <f>(24-COUNTIF(H132:AE132,0))/2</f>
        <v>10</v>
      </c>
      <c r="D105" s="168">
        <f t="shared" si="25"/>
        <v>10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1236</v>
      </c>
      <c r="C106" s="168">
        <f>SUM(H129:AE129)/2</f>
        <v>25.5</v>
      </c>
      <c r="D106" s="168">
        <f t="shared" si="25"/>
        <v>25.5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1237</v>
      </c>
      <c r="C107" s="168">
        <f>SUM(H130:AE130)/2</f>
        <v>0</v>
      </c>
      <c r="D107" s="168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1238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810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810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1239</v>
      </c>
      <c r="C109" s="168">
        <f>SUM(H132:AE132)/2</f>
        <v>25.5</v>
      </c>
      <c r="D109" s="168">
        <f t="shared" si="25"/>
        <v>25.5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Brebis  lot princ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0</v>
      </c>
      <c r="BH109" s="168">
        <v>2</v>
      </c>
      <c r="BI109" s="168">
        <f>IF(CdTrp1!O76=1,1,IF(CdTrp1!O76=2,2,IF(CdTrp1!O76=3,2,IF(CdTrp1!O76=4,4,0))))</f>
        <v>0</v>
      </c>
      <c r="BJ109" s="168">
        <f>IF(CdTrp1!P76=1,1,IF(CdTrp1!P76=2,2,IF(CdTrp1!P76=3,2,IF(CdTrp1!P76=4,4,0))))</f>
        <v>0</v>
      </c>
      <c r="BK109" s="168">
        <f>IF(CdTrp1!Q76=1,1,IF(CdTrp1!Q76=2,2,IF(CdTrp1!Q76=3,2,IF(CdTrp1!Q76=4,4,0))))</f>
        <v>0</v>
      </c>
      <c r="BL109" s="168">
        <f>IF(CdTrp1!R76=1,1,IF(CdTrp1!R76=2,2,IF(CdTrp1!R76=3,2,IF(CdTrp1!R76=4,4,0))))</f>
        <v>0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216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1240</v>
      </c>
      <c r="C110" s="168">
        <f>COUNTIF($H$94:$AE$103,1)/2</f>
        <v>20.5</v>
      </c>
      <c r="D110" s="168">
        <f t="shared" si="25"/>
        <v>20.5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Brebis tardives + antenaises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1</v>
      </c>
      <c r="AY110" s="168">
        <f>IF(CdTrp1!E77=1,1,IF(CdTrp1!E77=2,2,IF(CdTrp1!E77=3,2,IF(CdTrp1!E77=4,4,0))))</f>
        <v>1</v>
      </c>
      <c r="AZ110" s="168">
        <f>IF(CdTrp1!F77=1,1,IF(CdTrp1!F77=2,2,IF(CdTrp1!F77=3,2,IF(CdTrp1!F77=4,4,0))))</f>
        <v>1</v>
      </c>
      <c r="BA110" s="168">
        <f>IF(CdTrp1!G77=1,1,IF(CdTrp1!G77=2,2,IF(CdTrp1!G77=3,2,IF(CdTrp1!G77=4,4,0))))</f>
        <v>1</v>
      </c>
      <c r="BB110" s="168">
        <f>IF(CdTrp1!H77=1,1,IF(CdTrp1!H77=2,2,IF(CdTrp1!H77=3,2,IF(CdTrp1!H77=4,4,0))))</f>
        <v>1</v>
      </c>
      <c r="BC110" s="168">
        <f>IF(CdTrp1!I77=1,1,IF(CdTrp1!I77=2,2,IF(CdTrp1!I77=3,2,IF(CdTrp1!I77=4,4,0))))</f>
        <v>1</v>
      </c>
      <c r="BD110" s="168">
        <f>IF(CdTrp1!J77=1,1,IF(CdTrp1!J77=2,2,IF(CdTrp1!J77=3,2,IF(CdTrp1!J77=4,4,0))))</f>
        <v>1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814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1241</v>
      </c>
      <c r="C111" s="168">
        <f>COUNTIF($H$105:$AE$114,1)/2</f>
        <v>0</v>
      </c>
      <c r="D111" s="168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Brebis vides + agnelles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1</v>
      </c>
      <c r="AY111" s="168">
        <f>IF(CdTrp1!E78=1,1,IF(CdTrp1!E78=2,2,IF(CdTrp1!E78=3,2,IF(CdTrp1!E78=4,4,0))))</f>
        <v>1</v>
      </c>
      <c r="AZ111" s="168">
        <f>IF(CdTrp1!F78=1,1,IF(CdTrp1!F78=2,2,IF(CdTrp1!F78=3,2,IF(CdTrp1!F78=4,4,0))))</f>
        <v>1</v>
      </c>
      <c r="BA111" s="168">
        <f>IF(CdTrp1!G78=1,1,IF(CdTrp1!G78=2,2,IF(CdTrp1!G78=3,2,IF(CdTrp1!G78=4,4,0))))</f>
        <v>1</v>
      </c>
      <c r="BB111" s="168">
        <f>IF(CdTrp1!H78=1,1,IF(CdTrp1!H78=2,2,IF(CdTrp1!H78=3,2,IF(CdTrp1!H78=4,4,0))))</f>
        <v>1</v>
      </c>
      <c r="BC111" s="168">
        <f>IF(CdTrp1!I78=1,1,IF(CdTrp1!I78=2,2,IF(CdTrp1!I78=3,2,IF(CdTrp1!I78=4,4,0))))</f>
        <v>1</v>
      </c>
      <c r="BD111" s="168">
        <f>IF(CdTrp1!J78=1,1,IF(CdTrp1!J78=2,2,IF(CdTrp1!J78=3,2,IF(CdTrp1!J78=4,4,0))))</f>
        <v>1</v>
      </c>
      <c r="BE111" s="168">
        <f>IF(CdTrp1!K78=1,1,IF(CdTrp1!K78=2,2,IF(CdTrp1!K78=3,2,IF(CdTrp1!K78=4,4,0))))</f>
        <v>1</v>
      </c>
      <c r="BF111" s="168">
        <f>IF(CdTrp1!L78=1,1,IF(CdTrp1!L78=2,2,IF(CdTrp1!L78=3,2,IF(CdTrp1!L78=4,4,0))))</f>
        <v>1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1</v>
      </c>
      <c r="BL111" s="168">
        <f>IF(CdTrp1!R78=1,1,IF(CdTrp1!R78=2,2,IF(CdTrp1!R78=3,2,IF(CdTrp1!R78=4,4,0))))</f>
        <v>1</v>
      </c>
      <c r="BM111" s="168">
        <f>IF(CdTrp1!S78=1,1,IF(CdTrp1!S78=2,2,IF(CdTrp1!S78=3,2,IF(CdTrp1!S78=4,4,0))))</f>
        <v>1</v>
      </c>
      <c r="BN111" s="168">
        <f>IF(CdTrp1!T78=1,1,IF(CdTrp1!T78=2,2,IF(CdTrp1!T78=3,2,IF(CdTrp1!T78=4,4,0))))</f>
        <v>1</v>
      </c>
      <c r="BO111" s="168">
        <f>IF(CdTrp1!U78=1,1,IF(CdTrp1!U78=2,2,IF(CdTrp1!U78=3,2,IF(CdTrp1!U78=4,4,0))))</f>
        <v>1</v>
      </c>
      <c r="BP111" s="168">
        <f>IF(CdTrp1!V78=1,1,IF(CdTrp1!V78=2,2,IF(CdTrp1!V78=3,2,IF(CdTrp1!V78=4,4,0))))</f>
        <v>1</v>
      </c>
      <c r="BQ111" s="168">
        <f>IF(CdTrp1!W78=1,1,IF(CdTrp1!W78=2,2,IF(CdTrp1!W78=3,2,IF(CdTrp1!W78=4,4,0))))</f>
        <v>1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91">
        <v>4</v>
      </c>
      <c r="BV111" t="s">
        <v>816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1242</v>
      </c>
      <c r="C112" s="168">
        <f>COUNTIF($H$116:$AE$125,1)/2</f>
        <v>0</v>
      </c>
      <c r="D112" s="168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1</v>
      </c>
      <c r="BB112" s="168">
        <f>IF(CdTrp1!H79=1,1,IF(CdTrp1!H79=2,2,IF(CdTrp1!H79=3,2,IF(CdTrp1!H79=4,4,0))))</f>
        <v>1</v>
      </c>
      <c r="BC112" s="168">
        <f>IF(CdTrp1!I79=1,1,IF(CdTrp1!I79=2,2,IF(CdTrp1!I79=3,2,IF(CdTrp1!I79=4,4,0))))</f>
        <v>1</v>
      </c>
      <c r="BD112" s="168">
        <f>IF(CdTrp1!J79=1,1,IF(CdTrp1!J79=2,2,IF(CdTrp1!J79=3,2,IF(CdTrp1!J79=4,4,0))))</f>
        <v>1</v>
      </c>
      <c r="BE112" s="168">
        <f>IF(CdTrp1!K79=1,1,IF(CdTrp1!K79=2,2,IF(CdTrp1!K79=3,2,IF(CdTrp1!K79=4,4,0))))</f>
        <v>1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818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1243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 t="str">
        <f t="shared" si="28"/>
        <v>lot5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1244</v>
      </c>
      <c r="C114" s="168">
        <f>COUNTIF($H$105:$AE$114,2)/2</f>
        <v>0</v>
      </c>
      <c r="D114" s="168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1245</v>
      </c>
      <c r="C115" s="168">
        <f>COUNTIF($H$116:$AE$125,2)/2</f>
        <v>0</v>
      </c>
      <c r="D115" s="168">
        <f t="shared" si="25"/>
        <v>0</v>
      </c>
      <c r="F115" s="14" t="s">
        <v>938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1246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1247</v>
      </c>
      <c r="C117" s="168">
        <f>COUNTIF($H$105:$AE$114,3)/2</f>
        <v>0</v>
      </c>
      <c r="D117" s="168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1248</v>
      </c>
      <c r="C118" s="168">
        <f>COUNTIF($H$116:$AE$125,3)/2</f>
        <v>0</v>
      </c>
      <c r="D118" s="168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1249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826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826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1250</v>
      </c>
      <c r="C120" s="168">
        <f>COUNTIF($H$105:$AE$114,4)/2</f>
        <v>0</v>
      </c>
      <c r="D120" s="168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828</v>
      </c>
      <c r="AU120" s="30">
        <f>VALUE(CONCATENATE(Scénario!K8,Travail!AU2))</f>
        <v>21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828</v>
      </c>
      <c r="CA120" s="30">
        <f>VALUE(CONCATENATE(Scénario!K8,Travail!CA2))</f>
        <v>22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828</v>
      </c>
      <c r="DD120" s="30">
        <f>VALUE(CONCATENATE(Scénario!K8,Travail!DD2))</f>
        <v>20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1251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Brebis  lot princ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830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1252</v>
      </c>
      <c r="C122" s="168">
        <f>COUNTIF($H$94:$AE$103,5)/2</f>
        <v>5</v>
      </c>
      <c r="D122" s="168">
        <f t="shared" si="25"/>
        <v>5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Brebis tardives + antenaises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1253</v>
      </c>
      <c r="C123" s="168">
        <f>COUNTIF($H$105:$AE$114,5)/2</f>
        <v>0</v>
      </c>
      <c r="D123" s="168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Brebis vides + agnelles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1254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1255</v>
      </c>
      <c r="C125" s="168">
        <f t="shared" ref="C125:C132" si="34">SUM(H134:AE134)/2</f>
        <v>3</v>
      </c>
      <c r="D125" s="168">
        <f t="shared" si="25"/>
        <v>3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 t="str">
        <f t="shared" si="33"/>
        <v>lot5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1256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1257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1258</v>
      </c>
      <c r="C128" s="168">
        <f t="shared" si="34"/>
        <v>3</v>
      </c>
      <c r="D128" s="168">
        <f t="shared" si="25"/>
        <v>3</v>
      </c>
      <c r="F128" s="14" t="s">
        <v>1259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1260</v>
      </c>
      <c r="C129" s="168">
        <f t="shared" si="34"/>
        <v>0</v>
      </c>
      <c r="D129" s="168">
        <f t="shared" si="25"/>
        <v>0</v>
      </c>
      <c r="F129" s="14" t="s">
        <v>921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2</v>
      </c>
      <c r="K129">
        <f t="shared" si="35"/>
        <v>3</v>
      </c>
      <c r="L129">
        <f t="shared" si="35"/>
        <v>3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1261</v>
      </c>
      <c r="C130" s="168">
        <f t="shared" si="34"/>
        <v>0</v>
      </c>
      <c r="D130" s="168">
        <f t="shared" si="25"/>
        <v>0</v>
      </c>
      <c r="F130" s="14" t="s">
        <v>937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1262</v>
      </c>
      <c r="C131" s="168">
        <f t="shared" si="34"/>
        <v>0</v>
      </c>
      <c r="D131" s="168">
        <f t="shared" si="25"/>
        <v>0</v>
      </c>
      <c r="F131" s="14" t="s">
        <v>938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839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839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1263</v>
      </c>
      <c r="C132" s="168">
        <f t="shared" si="34"/>
        <v>0</v>
      </c>
      <c r="D132" s="168">
        <f t="shared" si="25"/>
        <v>0</v>
      </c>
      <c r="F132" s="14" t="s">
        <v>1264</v>
      </c>
      <c r="H132">
        <f t="shared" ref="H132:AE132" si="38">SUM(H129:H131)</f>
        <v>0</v>
      </c>
      <c r="I132">
        <f t="shared" si="38"/>
        <v>0</v>
      </c>
      <c r="J132">
        <f t="shared" si="38"/>
        <v>2</v>
      </c>
      <c r="K132">
        <f t="shared" si="38"/>
        <v>3</v>
      </c>
      <c r="L132">
        <f t="shared" si="38"/>
        <v>3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3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0</v>
      </c>
      <c r="AE132">
        <f t="shared" si="38"/>
        <v>0</v>
      </c>
      <c r="AT132" s="182" t="str">
        <f>AT121</f>
        <v>Brebis  lot princ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1265</v>
      </c>
      <c r="C133" s="259">
        <f>IF(C110&gt;0,C110/(C110+C113+C116),0)</f>
        <v>1</v>
      </c>
      <c r="D133" s="259">
        <f t="shared" si="25"/>
        <v>1</v>
      </c>
      <c r="AT133" s="182" t="str">
        <f t="shared" ref="AT133:AT141" si="42">AT122</f>
        <v>Brebis tardives + antenaises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1266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1267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Brebis vides + agnelles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1268</v>
      </c>
      <c r="C135" s="259">
        <f t="shared" si="45"/>
        <v>0</v>
      </c>
      <c r="D135" s="259">
        <f t="shared" si="25"/>
        <v>0</v>
      </c>
      <c r="F135" s="14" t="s">
        <v>1269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1270</v>
      </c>
      <c r="C136" s="259">
        <f>SUM(C110:C112)/SUM(C110:C118)</f>
        <v>1</v>
      </c>
      <c r="D136" s="259">
        <f t="shared" si="25"/>
        <v>1</v>
      </c>
      <c r="F136" s="14" t="s">
        <v>1271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 t="str">
        <f t="shared" si="42"/>
        <v>lot5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1272</v>
      </c>
      <c r="B137" s="32" t="s">
        <v>1273</v>
      </c>
      <c r="C137" s="168">
        <f>IF(Troupeau!B$3="OL",('Calcul éco'!B9+'Calcul éco'!B10),0)</f>
        <v>236</v>
      </c>
      <c r="D137" s="260">
        <f>C137*$D$82/$C$82</f>
        <v>0</v>
      </c>
      <c r="F137" s="14" t="s">
        <v>1274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1275</v>
      </c>
      <c r="C138" s="168">
        <f>IF(Troupeau!B$3="OL",('Calcul éco'!B13+'Calcul éco'!B14),0)</f>
        <v>36</v>
      </c>
      <c r="D138" s="260">
        <f t="shared" ref="D138:D174" si="50">C138*$D$82/$C$82</f>
        <v>0</v>
      </c>
      <c r="F138" s="14" t="s">
        <v>1276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1277</v>
      </c>
      <c r="C139" s="168">
        <f>IF(Troupeau!B$3="VL",('Calcul éco'!B9+'Calcul éco'!B10),0)</f>
        <v>0</v>
      </c>
      <c r="D139" s="260">
        <f t="shared" si="50"/>
        <v>0</v>
      </c>
      <c r="F139" s="14" t="s">
        <v>1278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1279</v>
      </c>
      <c r="C140" s="168">
        <f>IF(Troupeau!B$3="VL",('Calcul éco'!B13),0)</f>
        <v>0</v>
      </c>
      <c r="D140" s="260">
        <f t="shared" si="50"/>
        <v>0</v>
      </c>
      <c r="F140" s="14" t="s">
        <v>1280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1281</v>
      </c>
      <c r="C141" s="168">
        <f>IF(Troupeau!B$3="VL",('Calcul éco'!B14),0)</f>
        <v>0</v>
      </c>
      <c r="D141" s="260">
        <f t="shared" si="50"/>
        <v>0</v>
      </c>
      <c r="F141" s="14" t="s">
        <v>1282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443</v>
      </c>
      <c r="C142" s="168">
        <f>SUM(G147:G150)</f>
        <v>0</v>
      </c>
      <c r="D142" s="260">
        <f t="shared" si="50"/>
        <v>0</v>
      </c>
      <c r="AT142" s="19" t="s">
        <v>851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851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851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1283</v>
      </c>
      <c r="C143" s="168">
        <f>G151+G153</f>
        <v>0</v>
      </c>
      <c r="D143" s="260">
        <f t="shared" si="50"/>
        <v>0</v>
      </c>
      <c r="AT143" s="19" t="s">
        <v>854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854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854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1284</v>
      </c>
      <c r="C144" s="168">
        <f>G152+G154</f>
        <v>0</v>
      </c>
      <c r="D144" s="260">
        <f t="shared" si="50"/>
        <v>0</v>
      </c>
      <c r="AT144" s="19" t="s">
        <v>856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856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856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1285</v>
      </c>
      <c r="C145" s="168">
        <f>G155+G156</f>
        <v>0</v>
      </c>
      <c r="D145" s="260">
        <f t="shared" si="50"/>
        <v>0</v>
      </c>
      <c r="AT145" s="19" t="s">
        <v>858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858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858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1286</v>
      </c>
      <c r="C146" s="168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1287</v>
      </c>
      <c r="AT146" s="40" t="s">
        <v>860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1288</v>
      </c>
      <c r="C147" s="168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1289</v>
      </c>
      <c r="G147">
        <f>IF(Troupeau!B$3="BV",'Calcul éco'!B9,0)</f>
        <v>0</v>
      </c>
      <c r="AT147" s="40" t="s">
        <v>862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862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862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1290</v>
      </c>
      <c r="B148" s="14" t="s">
        <v>1291</v>
      </c>
      <c r="C148" s="168">
        <f>IF(Troupeau!B3="OL",'Calcul éco'!B5,0)</f>
        <v>0</v>
      </c>
      <c r="D148" s="260">
        <f t="shared" si="50"/>
        <v>0</v>
      </c>
      <c r="F148" s="14" t="s">
        <v>1292</v>
      </c>
      <c r="G148">
        <f>IF(Troupeau!B$3="BV",'Calcul éco'!B10,0)</f>
        <v>0</v>
      </c>
      <c r="AT148" s="40" t="s">
        <v>864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864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864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1293</v>
      </c>
      <c r="C149" s="168">
        <f>IF(Troupeau!B3="OL",'Calcul éco'!B6,0)</f>
        <v>30441</v>
      </c>
      <c r="D149" s="260">
        <f t="shared" si="50"/>
        <v>0</v>
      </c>
      <c r="F149" s="14" t="s">
        <v>1294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865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1295</v>
      </c>
      <c r="C150" s="168">
        <f>IF(Troupeau!B3="BL",'Calcul éco'!B5,0)</f>
        <v>0</v>
      </c>
      <c r="D150" s="260">
        <f t="shared" si="50"/>
        <v>0</v>
      </c>
      <c r="F150" s="14" t="s">
        <v>1296</v>
      </c>
      <c r="G150">
        <f>IF(Troupeau!C$3="BV",'Calcul éco'!C10,0)</f>
        <v>0</v>
      </c>
      <c r="AT150" s="40" t="s">
        <v>865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865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1297</v>
      </c>
      <c r="B151" s="14" t="s">
        <v>1298</v>
      </c>
      <c r="C151" s="168">
        <f>'Calcul éco'!C19</f>
        <v>0</v>
      </c>
      <c r="D151" s="260">
        <f t="shared" si="50"/>
        <v>0</v>
      </c>
      <c r="F151" s="14" t="s">
        <v>1299</v>
      </c>
      <c r="G151">
        <f>IF(Troupeau!B$3="BV",'Calcul éco'!B13,0)</f>
        <v>0</v>
      </c>
      <c r="AT151" s="182" t="str">
        <f t="shared" ref="AT151:AT154" si="73">AT87</f>
        <v>Brebis  lot princ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1300</v>
      </c>
      <c r="C152" s="168">
        <f>'Calcul éco'!C20</f>
        <v>0</v>
      </c>
      <c r="D152" s="260">
        <f t="shared" si="50"/>
        <v>0</v>
      </c>
      <c r="F152" s="14" t="s">
        <v>1301</v>
      </c>
      <c r="G152">
        <f>IF(Troupeau!B$3="BV",'Calcul éco'!B14,0)</f>
        <v>0</v>
      </c>
      <c r="AT152" s="182" t="str">
        <f t="shared" si="73"/>
        <v>Brebis tardives + antenaises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1302</v>
      </c>
      <c r="C153" s="168">
        <f>'Calcul éco'!C21</f>
        <v>0</v>
      </c>
      <c r="D153" s="260">
        <f t="shared" si="50"/>
        <v>0</v>
      </c>
      <c r="F153" s="14" t="s">
        <v>1303</v>
      </c>
      <c r="G153">
        <f>IF(Troupeau!C$3="BV",'Calcul éco'!C13,0)</f>
        <v>0</v>
      </c>
      <c r="AT153" s="182" t="str">
        <f t="shared" si="73"/>
        <v>Brebis vides + agnelles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1304</v>
      </c>
      <c r="C154" s="168">
        <f>'Calcul éco'!D19</f>
        <v>0</v>
      </c>
      <c r="D154" s="260">
        <f t="shared" si="50"/>
        <v>0</v>
      </c>
      <c r="F154" s="14" t="s">
        <v>1305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1306</v>
      </c>
      <c r="C155" s="168">
        <f>'Calcul éco'!D20</f>
        <v>0</v>
      </c>
      <c r="D155" s="260">
        <f t="shared" si="50"/>
        <v>0</v>
      </c>
      <c r="F155" s="14" t="s">
        <v>1307</v>
      </c>
      <c r="G155">
        <f>IF(Troupeau!B$3="BV",('Calcul éco'!B$11+'Calcul éco'!B$12),0)</f>
        <v>0</v>
      </c>
      <c r="AT155" s="182" t="str">
        <f>AT91</f>
        <v>lot5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1308</v>
      </c>
      <c r="C156" s="168">
        <f>'Calcul éco'!D21</f>
        <v>0</v>
      </c>
      <c r="D156" s="260">
        <f t="shared" si="50"/>
        <v>0</v>
      </c>
      <c r="F156" s="14" t="s">
        <v>1309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1310</v>
      </c>
      <c r="C157" s="168">
        <f>C151+C154</f>
        <v>0</v>
      </c>
      <c r="D157" s="260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1311</v>
      </c>
      <c r="C158" s="168">
        <f t="shared" ref="C158:C159" si="82">C152+C155</f>
        <v>0</v>
      </c>
      <c r="D158" s="260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1312</v>
      </c>
      <c r="C159" s="168">
        <f t="shared" si="82"/>
        <v>0</v>
      </c>
      <c r="D159" s="260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1313</v>
      </c>
      <c r="C160" s="168">
        <f>'Calcul éco'!C30</f>
        <v>0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1314</v>
      </c>
      <c r="B161" s="14" t="s">
        <v>1315</v>
      </c>
      <c r="C161" s="259">
        <f>IF(Troupeau!$B$3="OL",CdTrp1!$AA$159,0)</f>
        <v>85.043903757400798</v>
      </c>
      <c r="D161" s="260">
        <f t="shared" si="50"/>
        <v>0</v>
      </c>
      <c r="AT161" s="182" t="s">
        <v>879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879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879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1316</v>
      </c>
      <c r="B162" s="14" t="s">
        <v>1317</v>
      </c>
      <c r="C162" s="259">
        <f>IF(Troupeau!$B$3="OL",CdTrp1!$AA$147,0)</f>
        <v>110.53131699379061</v>
      </c>
      <c r="D162" s="260">
        <f t="shared" si="50"/>
        <v>0</v>
      </c>
      <c r="AT162" s="182" t="s">
        <v>881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881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881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1318</v>
      </c>
      <c r="C163" s="259">
        <f>IF(Troupeau!$B$3="BL",CdTrp1!$AA$159,0)</f>
        <v>0</v>
      </c>
      <c r="D163" s="260">
        <f t="shared" si="50"/>
        <v>0</v>
      </c>
      <c r="AT163" s="40" t="s">
        <v>883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1319</v>
      </c>
      <c r="C164" s="259">
        <f>IF(Troupeau!$B$3="BL",ROUND(CdTrp1!$AA$147,0),0)</f>
        <v>0</v>
      </c>
      <c r="D164" s="260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1320</v>
      </c>
      <c r="C165" s="259">
        <f>IF(Troupeau!$B$3="BV",CdTrp1!$AA$159,0)+IF(Troupeau!$C$3="BV",CdTrp2!$AA$159,0)</f>
        <v>0</v>
      </c>
      <c r="D165" s="260">
        <f t="shared" si="50"/>
        <v>0</v>
      </c>
      <c r="AT165" s="40" t="s">
        <v>886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1321</v>
      </c>
      <c r="C166" s="259">
        <f>IF(Troupeau!$B$3="BV",CdTrp1!$AA$147,0)+IF(Troupeau!$C$3="BV",CdTrp2!$AA$147,0)</f>
        <v>0</v>
      </c>
      <c r="D166" s="260">
        <f t="shared" si="50"/>
        <v>0</v>
      </c>
      <c r="AT166" s="146" t="s">
        <v>888</v>
      </c>
      <c r="AU166" s="17">
        <f>VLOOKUP(AU120,[1]Trav!$B$12:$C$31,2)</f>
        <v>6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6" t="s">
        <v>888</v>
      </c>
      <c r="CA166" s="17">
        <f>VLOOKUP(CA120,[1]Trav!$B$12:$C$31,2)</f>
        <v>7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6" t="s">
        <v>888</v>
      </c>
      <c r="DD166" s="17">
        <f>VLOOKUP(DD120,[1]Trav!$B$12:$C$31,2)</f>
        <v>5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1322</v>
      </c>
      <c r="C167" s="259">
        <f>IF(Troupeau!$D$3="EQ",CdTrp3!$AA$159,0)+IF(Troupeau!$C$3="EQ",CdTrp2!$AA$159,0)</f>
        <v>0</v>
      </c>
      <c r="D167" s="260">
        <f t="shared" si="50"/>
        <v>0</v>
      </c>
      <c r="AT167" s="182" t="str">
        <f t="shared" ref="AT167:AT176" si="95">AT121</f>
        <v>Brebis  lot princ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1323</v>
      </c>
      <c r="C168" s="259">
        <f>IF(Troupeau!$D$3="EQ",CdTrp3!$AA$147,0)+IF(Troupeau!$C$3="EQ",CdTrp2!$AA$147,0)</f>
        <v>0</v>
      </c>
      <c r="D168" s="260">
        <f t="shared" si="50"/>
        <v>0</v>
      </c>
      <c r="AT168" s="182" t="str">
        <f t="shared" si="95"/>
        <v>Brebis tardives + antenaises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1324</v>
      </c>
      <c r="C169" s="168">
        <f>SUM('Alim -Surf'!D24:H24)</f>
        <v>58.85</v>
      </c>
      <c r="D169" s="260">
        <f t="shared" si="50"/>
        <v>0</v>
      </c>
      <c r="AT169" s="182" t="str">
        <f t="shared" si="95"/>
        <v>Brebis vides + agnelles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1325</v>
      </c>
      <c r="C170" s="168">
        <f>SUM('Alim -Surf'!D25:H25)</f>
        <v>50.326105663537916</v>
      </c>
      <c r="D170" s="260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1326</v>
      </c>
      <c r="C171" s="168">
        <f>'Alim -Surf'!K24</f>
        <v>77</v>
      </c>
      <c r="D171" s="260">
        <f t="shared" si="50"/>
        <v>0</v>
      </c>
      <c r="AT171" s="182" t="str">
        <f t="shared" si="95"/>
        <v>lot5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1327</v>
      </c>
      <c r="C172" s="168">
        <f>'Alim -Surf'!K25</f>
        <v>110.6</v>
      </c>
      <c r="D172" s="260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1328</v>
      </c>
      <c r="C173" s="168">
        <f>C169-C170</f>
        <v>8.5238943364620852</v>
      </c>
      <c r="D173" s="260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1329</v>
      </c>
      <c r="C174" s="193">
        <f>ROUND((1 -(C173/C169))*100,1)</f>
        <v>85.5</v>
      </c>
      <c r="D174" s="260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1330</v>
      </c>
      <c r="C175" s="168">
        <f>C171-C172</f>
        <v>-33.599999999999994</v>
      </c>
      <c r="D175" s="260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1331</v>
      </c>
      <c r="C176" s="168">
        <f>'Calcul éco'!B118</f>
        <v>33.599999999999994</v>
      </c>
      <c r="D176" s="260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1332</v>
      </c>
      <c r="C177" s="168">
        <f>'Calcul éco'!C30</f>
        <v>0</v>
      </c>
      <c r="D177" s="260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1333</v>
      </c>
      <c r="C178" s="168">
        <f>ROUND((C170+C171)/(C170+C172),2)*100</f>
        <v>79</v>
      </c>
      <c r="D178" s="168" t="e">
        <f>ROUND((D170+D171)/(D170+D172),2)*100</f>
        <v>#DIV/0!</v>
      </c>
      <c r="AT178" s="40" t="s">
        <v>900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900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900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1334</v>
      </c>
      <c r="C179" s="168">
        <f>SUM('Calcul éco'!D82:F106)</f>
        <v>33.200000000000003</v>
      </c>
      <c r="D179" s="260">
        <f>C179*$D$82/$C$82</f>
        <v>0</v>
      </c>
    </row>
    <row r="180" spans="1:132" x14ac:dyDescent="0.25">
      <c r="B180" s="14" t="s">
        <v>1335</v>
      </c>
      <c r="C180" s="168">
        <f>SUM('Calcul éco'!D19:D21)</f>
        <v>0</v>
      </c>
      <c r="D180" s="260">
        <f>C180*$D$82/$C$82</f>
        <v>0</v>
      </c>
    </row>
    <row r="181" spans="1:132" x14ac:dyDescent="0.25">
      <c r="B181" s="14" t="s">
        <v>1336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1337</v>
      </c>
      <c r="B182" s="14" t="s">
        <v>1338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1339</v>
      </c>
      <c r="C183" s="168">
        <f>Protection!AK25</f>
        <v>0</v>
      </c>
      <c r="D183" s="261">
        <f>ROUND(D184*D185,0)</f>
        <v>0</v>
      </c>
      <c r="E183" s="17" t="s">
        <v>1340</v>
      </c>
    </row>
    <row r="184" spans="1:132" x14ac:dyDescent="0.25">
      <c r="B184" s="14" t="s">
        <v>1341</v>
      </c>
      <c r="C184" s="168">
        <f>Protection!AK26</f>
        <v>0</v>
      </c>
      <c r="D184" s="262">
        <f>C184*D82/C82</f>
        <v>0</v>
      </c>
    </row>
    <row r="185" spans="1:132" x14ac:dyDescent="0.25">
      <c r="B185" s="14" t="s">
        <v>1342</v>
      </c>
      <c r="C185" s="168">
        <f>IF(C183=0,0,ROUND(C183/C184,0))</f>
        <v>0</v>
      </c>
      <c r="D185" s="168">
        <f>C185</f>
        <v>0</v>
      </c>
    </row>
    <row r="186" spans="1:132" x14ac:dyDescent="0.25">
      <c r="B186" s="14" t="s">
        <v>1343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1344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1345</v>
      </c>
      <c r="C188" s="168">
        <f>'Calcul éco'!T236</f>
        <v>0</v>
      </c>
      <c r="D188" s="168">
        <f t="shared" ref="D188:D189" si="101">C188</f>
        <v>0</v>
      </c>
      <c r="AK188" s="40" t="s">
        <v>1151</v>
      </c>
    </row>
    <row r="189" spans="1:132" x14ac:dyDescent="0.25">
      <c r="B189" s="14" t="s">
        <v>1346</v>
      </c>
      <c r="C189" s="168">
        <f>'Calcul éco'!T245</f>
        <v>0</v>
      </c>
      <c r="D189" s="168">
        <f t="shared" si="101"/>
        <v>0</v>
      </c>
      <c r="AH189" s="15"/>
      <c r="AJ189" s="14" t="s">
        <v>1152</v>
      </c>
      <c r="AK189" s="30">
        <f>D189</f>
        <v>0</v>
      </c>
      <c r="AO189" s="168">
        <f>ROUND((([1]Protect!$B$5/[1]Protect!$B$11)+[1]Protect!$B$8)*AK189,0)</f>
        <v>0</v>
      </c>
    </row>
    <row r="190" spans="1:132" x14ac:dyDescent="0.25">
      <c r="B190" s="14" t="s">
        <v>1347</v>
      </c>
      <c r="C190" s="168">
        <f>'Calcul éco'!T246*(30)</f>
        <v>0</v>
      </c>
      <c r="D190" s="168">
        <f>C190</f>
        <v>0</v>
      </c>
      <c r="AH190" s="15"/>
      <c r="AJ190" s="14" t="s">
        <v>1153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1348</v>
      </c>
      <c r="C191" s="193">
        <f>ROUND(SUM(Travail!F69:F74)/8,1)</f>
        <v>0</v>
      </c>
      <c r="D191" s="168">
        <f>C191</f>
        <v>0</v>
      </c>
      <c r="E191" s="17" t="s">
        <v>1349</v>
      </c>
      <c r="G191" t="s">
        <v>1350</v>
      </c>
      <c r="N191" t="s">
        <v>1351</v>
      </c>
      <c r="U191" t="s">
        <v>965</v>
      </c>
      <c r="AJ191" s="14" t="s">
        <v>1154</v>
      </c>
      <c r="AK191" s="30">
        <f>Travail!F16/8</f>
        <v>28</v>
      </c>
      <c r="AN191" s="168">
        <f>[1]Eco!$B$111</f>
        <v>28.3</v>
      </c>
      <c r="AO191" s="168">
        <f>AK191*AN191</f>
        <v>792.4</v>
      </c>
    </row>
    <row r="192" spans="1:132" x14ac:dyDescent="0.25">
      <c r="B192" s="14" t="s">
        <v>1352</v>
      </c>
      <c r="C192" s="168">
        <f>(Travail!F83+Travail!F84)/8</f>
        <v>0</v>
      </c>
      <c r="D192" s="263">
        <f>ROUND((D183/1000)*([1]Protect!$B$25*8/10+[1]Protect!$B$26),2)/8</f>
        <v>0</v>
      </c>
      <c r="E192" s="17" t="s">
        <v>1353</v>
      </c>
      <c r="I192" s="5"/>
      <c r="AN192" s="14" t="s">
        <v>1155</v>
      </c>
      <c r="AO192" s="168">
        <f>SUM(AO189:AO191)</f>
        <v>792.4</v>
      </c>
    </row>
    <row r="193" spans="1:43" x14ac:dyDescent="0.25">
      <c r="B193" s="14" t="s">
        <v>1354</v>
      </c>
      <c r="C193" s="168">
        <f>(Travail!F75+Travail!F76+Travail!F81)/8</f>
        <v>0</v>
      </c>
      <c r="D193" s="168">
        <f>C193</f>
        <v>0</v>
      </c>
      <c r="I193" s="32" t="s">
        <v>1355</v>
      </c>
      <c r="J193" s="5">
        <f>D65</f>
        <v>0</v>
      </c>
      <c r="P193" s="32" t="s">
        <v>1356</v>
      </c>
      <c r="Q193" s="5">
        <f>D64</f>
        <v>0</v>
      </c>
      <c r="V193" s="32" t="s">
        <v>1357</v>
      </c>
      <c r="W193" s="5">
        <f>D63</f>
        <v>0</v>
      </c>
    </row>
    <row r="194" spans="1:43" x14ac:dyDescent="0.25">
      <c r="A194" s="2" t="s">
        <v>1358</v>
      </c>
      <c r="B194" s="14" t="s">
        <v>1359</v>
      </c>
      <c r="C194" s="168">
        <f>ROUND(SUM('Calcul éco'!J5:J30),0)</f>
        <v>74015</v>
      </c>
      <c r="D194" s="256">
        <f>ROUND(C194*D$82/C$82,0)</f>
        <v>0</v>
      </c>
      <c r="I194" s="32" t="s">
        <v>1360</v>
      </c>
      <c r="J194" s="5">
        <f>J193/IF(Scénario!K2="Exploit. Ind.",1,Scénario!K3)</f>
        <v>0</v>
      </c>
      <c r="P194" s="32" t="s">
        <v>1361</v>
      </c>
      <c r="Q194" s="5">
        <f>Q193/IF(Scénario!K2="Exploit. Ind.",1,Scénario!K3)</f>
        <v>0</v>
      </c>
      <c r="V194" s="32" t="s">
        <v>1362</v>
      </c>
      <c r="W194" s="5">
        <f>W193/IF(Scénario!K2="Exploit. Ind.",1,Scénario!K3)</f>
        <v>0</v>
      </c>
    </row>
    <row r="195" spans="1:43" x14ac:dyDescent="0.25">
      <c r="A195" s="2"/>
      <c r="B195" s="14" t="s">
        <v>1363</v>
      </c>
      <c r="C195" s="168">
        <f>ROUND(IF(Troupeau!B3="OL",'Calcul éco'!J5+'Calcul éco'!J6,0),0)</f>
        <v>62739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1364</v>
      </c>
      <c r="C196" s="168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1365</v>
      </c>
      <c r="C197" s="168">
        <f>IF(Troupeau!B3="OL",SUM('Calcul éco'!K9:K15)-'Calcul éco'!K16,0)</f>
        <v>9176</v>
      </c>
      <c r="D197" s="256">
        <f t="shared" si="102"/>
        <v>0</v>
      </c>
      <c r="H197" s="166" t="s">
        <v>973</v>
      </c>
      <c r="I197" s="166" t="s">
        <v>974</v>
      </c>
      <c r="J197" s="166" t="s">
        <v>723</v>
      </c>
      <c r="O197" s="166" t="s">
        <v>973</v>
      </c>
      <c r="P197" s="166" t="s">
        <v>977</v>
      </c>
      <c r="Q197" s="166" t="s">
        <v>723</v>
      </c>
      <c r="T197" s="5"/>
      <c r="U197" s="166" t="s">
        <v>973</v>
      </c>
      <c r="V197" s="166" t="s">
        <v>975</v>
      </c>
      <c r="W197" s="166" t="s">
        <v>723</v>
      </c>
    </row>
    <row r="198" spans="1:43" x14ac:dyDescent="0.25">
      <c r="A198" s="2"/>
      <c r="B198" s="14" t="s">
        <v>1366</v>
      </c>
      <c r="C198" s="168">
        <f>IF(Troupeau!B3="BL",SUM('Calcul éco'!K9:K15)-'Calcul éco'!K16,0)</f>
        <v>0</v>
      </c>
      <c r="D198" s="256">
        <f t="shared" si="102"/>
        <v>0</v>
      </c>
      <c r="G198" s="208" t="s">
        <v>979</v>
      </c>
      <c r="H198" s="183">
        <f>[1]Eco!$F$4</f>
        <v>166</v>
      </c>
      <c r="I198" s="209">
        <f>IF(J194&gt;50,50,J194)</f>
        <v>0</v>
      </c>
      <c r="J198" s="168">
        <f>H198*I198</f>
        <v>0</v>
      </c>
      <c r="N198" s="14" t="s">
        <v>981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980</v>
      </c>
      <c r="U198" s="183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1159</v>
      </c>
      <c r="AJ198" s="4">
        <f>IF(Troupeau!B3="OL",L223,0)*Scénario!K56</f>
        <v>0</v>
      </c>
      <c r="AO198" s="40" t="s">
        <v>1160</v>
      </c>
      <c r="AP198">
        <f>IF(Troupeau!B3="OL",D63,0)</f>
        <v>0</v>
      </c>
    </row>
    <row r="199" spans="1:43" x14ac:dyDescent="0.25">
      <c r="A199" s="2"/>
      <c r="B199" s="14" t="s">
        <v>1367</v>
      </c>
      <c r="C199" s="168">
        <f>IF(Troupeau!B3="BV",SUM('Calcul éco'!K9:K15)-'Calcul éco'!K16,0)+IF(Troupeau!C3="BV",SUM('Calcul éco'!L9:L15)-'Calcul éco'!L16,0)</f>
        <v>0</v>
      </c>
      <c r="D199" s="256">
        <f t="shared" si="102"/>
        <v>0</v>
      </c>
      <c r="G199" s="14" t="s">
        <v>982</v>
      </c>
      <c r="H199" s="183">
        <f>[1]Eco!$F$5</f>
        <v>121</v>
      </c>
      <c r="I199" s="209">
        <f>IF(J194&lt;51,0,IF(J194&gt;99,49,J194-50))</f>
        <v>0</v>
      </c>
      <c r="J199" s="168">
        <f t="shared" ref="J199:J200" si="103">H199*I199</f>
        <v>0</v>
      </c>
      <c r="N199" s="14" t="s">
        <v>985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983</v>
      </c>
      <c r="U199" s="183">
        <f>[1]Eco!$F$10</f>
        <v>22.3</v>
      </c>
      <c r="V199" s="209">
        <f>IF(W194&gt;500,W194-500,0)</f>
        <v>0</v>
      </c>
      <c r="W199" s="209">
        <f>U199*V199</f>
        <v>0</v>
      </c>
      <c r="AK199" t="s">
        <v>1161</v>
      </c>
      <c r="AQ199" t="s">
        <v>1161</v>
      </c>
    </row>
    <row r="200" spans="1:43" x14ac:dyDescent="0.25">
      <c r="A200" s="2"/>
      <c r="B200" s="14" t="s">
        <v>1368</v>
      </c>
      <c r="C200" s="168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987</v>
      </c>
      <c r="H200" s="183">
        <f>[1]Eco!$F$6</f>
        <v>62</v>
      </c>
      <c r="I200" s="209">
        <f>IF(J194&gt;139,40,IF(J194&gt;99,J194-99,0))</f>
        <v>0</v>
      </c>
      <c r="J200" s="168">
        <f t="shared" si="103"/>
        <v>0</v>
      </c>
      <c r="P200" s="40" t="s">
        <v>984</v>
      </c>
      <c r="Q200" s="62">
        <f>IF(Scénario!K10=1,Q198,Q199)*IF(Scénario!K2="Exploit. Ind.",1,Scénario!K3)</f>
        <v>0</v>
      </c>
      <c r="V200" s="40" t="s">
        <v>984</v>
      </c>
      <c r="W200" s="62">
        <f>SUM(W198:W199)*IF(Scénario!K2="Exploit. Ind.",1,Scénario!K3)</f>
        <v>0</v>
      </c>
      <c r="AI200" s="14" t="s">
        <v>1162</v>
      </c>
      <c r="AJ200" s="30">
        <f>IF(AJ198&lt;151,1,0)</f>
        <v>1</v>
      </c>
      <c r="AK200" s="168">
        <f>IF(AJ200=0,0,[1]Protect!B76)</f>
        <v>7500</v>
      </c>
      <c r="AO200" s="14" t="s">
        <v>1163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993</v>
      </c>
      <c r="B201" s="14" t="s">
        <v>994</v>
      </c>
      <c r="C201" s="168">
        <f>'Calcul éco'!J34</f>
        <v>0</v>
      </c>
      <c r="D201" s="261">
        <f>J201</f>
        <v>0</v>
      </c>
      <c r="E201" s="17" t="s">
        <v>1369</v>
      </c>
      <c r="I201" s="40" t="s">
        <v>984</v>
      </c>
      <c r="J201" s="62">
        <f>SUM(J198:J200)*IF(Scénario!K2="Exploit. Ind.",1,Scénario!K3)</f>
        <v>0</v>
      </c>
      <c r="AI201" s="14" t="s">
        <v>1164</v>
      </c>
      <c r="AJ201" s="30">
        <f>IF(AND(150 &lt;AJ$198,AJ$198&lt;451),1,0)</f>
        <v>0</v>
      </c>
      <c r="AK201" s="168">
        <f>IF(AJ201=0,0,[1]Protect!B77)</f>
        <v>0</v>
      </c>
      <c r="AO201" s="14" t="s">
        <v>1165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996</v>
      </c>
      <c r="C202" s="168">
        <f>+'Calcul éco'!J35</f>
        <v>0</v>
      </c>
      <c r="D202" s="261">
        <f>ROUND(Q200,0)</f>
        <v>0</v>
      </c>
      <c r="E202" s="17" t="s">
        <v>1369</v>
      </c>
      <c r="AI202" s="14" t="s">
        <v>1166</v>
      </c>
      <c r="AJ202" s="30">
        <f>IF(AND(540 &lt;AJ$198,AJ$198&lt;1201),1,0)</f>
        <v>0</v>
      </c>
      <c r="AK202" s="168">
        <f>IF(AJ202=0,0,[1]Protect!B78)</f>
        <v>0</v>
      </c>
      <c r="AO202" s="14" t="s">
        <v>1167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1002</v>
      </c>
      <c r="C203" s="168">
        <f>'Calcul éco'!J37</f>
        <v>5929.2</v>
      </c>
      <c r="D203" s="261">
        <f>ROUND(W200,0)</f>
        <v>0</v>
      </c>
      <c r="E203" s="17" t="s">
        <v>1369</v>
      </c>
      <c r="AI203" s="14" t="s">
        <v>1168</v>
      </c>
      <c r="AJ203" s="30">
        <f>IF(AND(1200&lt;AJ$198,AJ$198&lt;1501),1,0)</f>
        <v>0</v>
      </c>
      <c r="AK203" s="168">
        <f>IF(AJ203=0,0,[1]Protect!B79)</f>
        <v>0</v>
      </c>
      <c r="AO203" s="14" t="s">
        <v>1169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1012</v>
      </c>
      <c r="C204" s="168">
        <f>'Calcul éco'!J39</f>
        <v>0</v>
      </c>
      <c r="D204" s="256">
        <f>ROUND(C204*D$82/C$82,0)</f>
        <v>0</v>
      </c>
      <c r="I204" s="40" t="s">
        <v>1003</v>
      </c>
      <c r="J204" t="s">
        <v>1004</v>
      </c>
      <c r="K204" t="s">
        <v>1005</v>
      </c>
      <c r="L204" t="s">
        <v>1006</v>
      </c>
      <c r="T204" s="2" t="s">
        <v>997</v>
      </c>
      <c r="U204" s="14"/>
      <c r="V204" s="36"/>
      <c r="AI204" s="14" t="s">
        <v>1170</v>
      </c>
      <c r="AJ204" s="30">
        <f>IF(1500&lt;AJ$198,1,0)</f>
        <v>0</v>
      </c>
      <c r="AK204" s="168">
        <f>IF(AJ204=0,0,[1]Protect!B80)</f>
        <v>0</v>
      </c>
      <c r="AO204" s="14" t="s">
        <v>1171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560</v>
      </c>
      <c r="C205" s="168">
        <f>'Calcul éco'!J40</f>
        <v>0</v>
      </c>
      <c r="D205" s="256">
        <f>ROUND(C205*D$82/C$82,0)</f>
        <v>0</v>
      </c>
      <c r="I205" s="14" t="s">
        <v>1370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1001</v>
      </c>
      <c r="Y205" s="183">
        <f>'Calcul éco'!AC36</f>
        <v>258</v>
      </c>
      <c r="Z205" s="5"/>
    </row>
    <row r="206" spans="1:43" x14ac:dyDescent="0.25">
      <c r="A206" s="2" t="s">
        <v>1016</v>
      </c>
      <c r="B206" s="19" t="s">
        <v>1017</v>
      </c>
      <c r="C206" s="168">
        <f>ROUND('Calcul éco'!J42,0)</f>
        <v>6730</v>
      </c>
      <c r="D206" s="256">
        <f>ROUND(C206*D$82/C$82,0)</f>
        <v>0</v>
      </c>
      <c r="I206" s="14" t="s">
        <v>269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1007</v>
      </c>
      <c r="Y206" s="166" t="s">
        <v>973</v>
      </c>
      <c r="Z206" s="166" t="s">
        <v>723</v>
      </c>
    </row>
    <row r="207" spans="1:43" x14ac:dyDescent="0.25">
      <c r="B207" s="206" t="s">
        <v>1021</v>
      </c>
      <c r="C207" s="168">
        <f>ROUND('Calcul éco'!J43,0)</f>
        <v>2548</v>
      </c>
      <c r="D207" s="261">
        <f>IF(L212&gt;52,52,L212)*IF(Scénario!K2="Exploit. Ind.",1,Scénario!K3)*'Calcul éco'!C43</f>
        <v>0</v>
      </c>
      <c r="E207" s="17" t="s">
        <v>1371</v>
      </c>
      <c r="W207" s="14" t="s">
        <v>1011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1172</v>
      </c>
      <c r="AL207" s="168">
        <f>IF(Scénario!K84=2,AL209,IF(Scénario!K84=1,AL208,0))</f>
        <v>0</v>
      </c>
      <c r="AQ207" s="5"/>
    </row>
    <row r="208" spans="1:43" x14ac:dyDescent="0.25">
      <c r="B208" s="206" t="s">
        <v>1022</v>
      </c>
      <c r="C208" s="168">
        <f>ROUND('Calcul éco'!J44,0)</f>
        <v>4649</v>
      </c>
      <c r="D208" s="256">
        <f>ROUND(C208*D$82/C$82,0)</f>
        <v>0</v>
      </c>
      <c r="S208" s="14" t="s">
        <v>1013</v>
      </c>
      <c r="T208" s="30">
        <f>L212</f>
        <v>0</v>
      </c>
      <c r="W208" s="14" t="s">
        <v>1014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1173</v>
      </c>
      <c r="AL208" s="168">
        <f>IF(AO192&lt;SUM(AK200:AK204),AO192,SUM(AK200:AK204))</f>
        <v>792.4</v>
      </c>
      <c r="AQ208" s="239"/>
    </row>
    <row r="209" spans="1:43" x14ac:dyDescent="0.25">
      <c r="B209" s="19" t="s">
        <v>1024</v>
      </c>
      <c r="C209" s="168">
        <f>ROUND('Calcul éco'!J45,0)</f>
        <v>15564</v>
      </c>
      <c r="D209" s="261">
        <f>IF(Scénario!K9=0,0,ROUND(Z210,0))</f>
        <v>0</v>
      </c>
      <c r="E209" s="17" t="s">
        <v>1372</v>
      </c>
      <c r="K209" s="40" t="s">
        <v>1023</v>
      </c>
      <c r="L209" s="62">
        <f>SUM(L205:L206)</f>
        <v>0</v>
      </c>
      <c r="W209" s="14" t="s">
        <v>1015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1174</v>
      </c>
      <c r="AL209" s="168">
        <f>IF(AO192&lt;SUM(AQ200:AQ204),AO192,SUM(AQ200:AQ204))</f>
        <v>792.4</v>
      </c>
      <c r="AP209" s="239"/>
      <c r="AQ209" s="239"/>
    </row>
    <row r="210" spans="1:43" x14ac:dyDescent="0.25">
      <c r="B210" s="19" t="s">
        <v>1373</v>
      </c>
      <c r="C210" s="168">
        <f>ROUND('Calcul éco'!J46,0)</f>
        <v>0</v>
      </c>
      <c r="D210" s="261">
        <f>ROUND(AL207,0)</f>
        <v>0</v>
      </c>
      <c r="E210" s="17" t="s">
        <v>1374</v>
      </c>
      <c r="K210" s="14" t="s">
        <v>1025</v>
      </c>
      <c r="L210" s="168">
        <f>J221</f>
        <v>0</v>
      </c>
      <c r="Y210" s="40" t="s">
        <v>984</v>
      </c>
      <c r="Z210" s="62">
        <f>SUM(Z207:Z209)*IF(Scénario!K2="Exploit. Ind.",1,Scénario!K3)</f>
        <v>0</v>
      </c>
      <c r="AF210" s="5"/>
      <c r="AP210" s="239"/>
      <c r="AQ210" s="240"/>
    </row>
    <row r="211" spans="1:43" x14ac:dyDescent="0.25">
      <c r="B211" s="14" t="s">
        <v>1375</v>
      </c>
      <c r="C211" s="168">
        <f>SUM(C201:C210)</f>
        <v>35420.199999999997</v>
      </c>
      <c r="D211" s="261">
        <f>ROUND(SUM(D201:D210),0)</f>
        <v>0</v>
      </c>
      <c r="E211" s="17" t="s">
        <v>1376</v>
      </c>
      <c r="K211" s="40" t="s">
        <v>1030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1377</v>
      </c>
      <c r="B212" s="14" t="s">
        <v>1378</v>
      </c>
      <c r="C212" s="168">
        <f>IF(Troupeau!B3="OL",'Calcul éco'!K116,0)</f>
        <v>19951.400000000001</v>
      </c>
      <c r="D212" s="256">
        <f>ROUND(C212*D$82/C$82,0)</f>
        <v>0</v>
      </c>
      <c r="K212" s="40" t="s">
        <v>1379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1380</v>
      </c>
      <c r="C213" s="168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1175</v>
      </c>
      <c r="AP213" s="240"/>
      <c r="AQ213" s="239"/>
    </row>
    <row r="214" spans="1:43" x14ac:dyDescent="0.25">
      <c r="B214" s="14" t="s">
        <v>1381</v>
      </c>
      <c r="C214" s="168">
        <f>IF(Troupeau!B3="BV",'Calcul éco'!K116,0)+IF(Troupeau!C3="BV",'Calcul éco'!L116,0)</f>
        <v>0</v>
      </c>
      <c r="D214" s="256">
        <f t="shared" si="106"/>
        <v>0</v>
      </c>
      <c r="H214" s="2" t="s">
        <v>1033</v>
      </c>
      <c r="AF214" s="5"/>
      <c r="AJ214" s="33" t="s">
        <v>1176</v>
      </c>
      <c r="AK214" s="33"/>
      <c r="AL214" s="33"/>
      <c r="AM214" s="33" t="s">
        <v>1177</v>
      </c>
      <c r="AN214" s="33" t="s">
        <v>1040</v>
      </c>
      <c r="AP214" s="240"/>
      <c r="AQ214" s="239"/>
    </row>
    <row r="215" spans="1:43" x14ac:dyDescent="0.25">
      <c r="B215" s="14" t="s">
        <v>1382</v>
      </c>
      <c r="C215" s="168">
        <f>IF(Troupeau!D3="EQ",'Calcul éco'!M116,0)+IF(Troupeau!D3="EQ",'Calcul éco'!L116,0)</f>
        <v>0</v>
      </c>
      <c r="D215" s="256">
        <f t="shared" si="106"/>
        <v>0</v>
      </c>
      <c r="I215" t="s">
        <v>1383</v>
      </c>
      <c r="J215" t="s">
        <v>1384</v>
      </c>
      <c r="AF215" s="5"/>
      <c r="AI215" s="14" t="s">
        <v>1178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39"/>
      <c r="AQ215" s="239"/>
    </row>
    <row r="216" spans="1:43" x14ac:dyDescent="0.25">
      <c r="B216" s="14" t="s">
        <v>1385</v>
      </c>
      <c r="C216" s="168">
        <f>ROUND(SUM(C212:C215),0)</f>
        <v>19951</v>
      </c>
      <c r="D216" s="256">
        <f t="shared" si="106"/>
        <v>0</v>
      </c>
      <c r="G216" s="14" t="s">
        <v>570</v>
      </c>
      <c r="H216" s="14" t="str">
        <f>Troupeau!B3</f>
        <v>OL</v>
      </c>
      <c r="I216" s="30">
        <f>'Calcul éco'!S50</f>
        <v>109.80000000000001</v>
      </c>
      <c r="J216" s="48">
        <f>I216*D$82/C$82</f>
        <v>0</v>
      </c>
      <c r="K216" s="218"/>
      <c r="L216" s="218"/>
      <c r="AF216" s="5"/>
      <c r="AI216" s="14" t="s">
        <v>1179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39"/>
      <c r="AQ216" s="239"/>
    </row>
    <row r="217" spans="1:43" x14ac:dyDescent="0.25">
      <c r="B217" s="14" t="s">
        <v>1386</v>
      </c>
      <c r="C217" s="168">
        <f>SUM('Calcul éco'!J122:J138)</f>
        <v>1052.4650000000001</v>
      </c>
      <c r="D217" s="256">
        <f t="shared" si="106"/>
        <v>0</v>
      </c>
      <c r="G217" s="19" t="s">
        <v>584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1180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39"/>
      <c r="AQ217" s="239"/>
    </row>
    <row r="218" spans="1:43" x14ac:dyDescent="0.25">
      <c r="B218" s="14" t="s">
        <v>1387</v>
      </c>
      <c r="C218" s="168">
        <f>SUM('Calcul éco'!J118:J119)</f>
        <v>9457.8995616781449</v>
      </c>
      <c r="D218" s="256">
        <f t="shared" si="106"/>
        <v>0</v>
      </c>
      <c r="G218" s="14" t="s">
        <v>591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1140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39"/>
      <c r="AP218" s="239"/>
      <c r="AQ218" s="239"/>
    </row>
    <row r="219" spans="1:43" x14ac:dyDescent="0.25">
      <c r="B219" s="14" t="s">
        <v>1388</v>
      </c>
      <c r="C219" s="168">
        <f>'Calcul éco'!J141</f>
        <v>0</v>
      </c>
      <c r="D219" s="256">
        <f t="shared" si="106"/>
        <v>0</v>
      </c>
      <c r="K219" s="4"/>
      <c r="AF219" s="5"/>
      <c r="AG219" s="241"/>
      <c r="AI219" s="14" t="s">
        <v>1141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39"/>
      <c r="AP219" s="32"/>
      <c r="AQ219" s="239"/>
    </row>
    <row r="220" spans="1:43" x14ac:dyDescent="0.25">
      <c r="B220" s="14" t="s">
        <v>1389</v>
      </c>
      <c r="C220" s="168">
        <f>'Calcul éco'!J142</f>
        <v>0</v>
      </c>
      <c r="D220" s="261">
        <f>SUM(AN215:AN219)</f>
        <v>0</v>
      </c>
      <c r="E220" s="17" t="s">
        <v>1390</v>
      </c>
      <c r="H220" s="14" t="s">
        <v>1035</v>
      </c>
      <c r="I220" s="30">
        <f>SUM(I216:I219)</f>
        <v>109.80000000000001</v>
      </c>
      <c r="J220" s="30">
        <f>SUM(J216:J219)</f>
        <v>0</v>
      </c>
    </row>
    <row r="221" spans="1:43" x14ac:dyDescent="0.25">
      <c r="B221" s="14" t="s">
        <v>1391</v>
      </c>
      <c r="C221" s="168">
        <f>ROUND(SUM(C216:C220),0)</f>
        <v>30461</v>
      </c>
      <c r="D221" s="261">
        <f>ROUND(SUM(D216:D220),0)</f>
        <v>0</v>
      </c>
      <c r="E221" s="17" t="s">
        <v>1390</v>
      </c>
      <c r="H221" s="14" t="s">
        <v>1036</v>
      </c>
      <c r="I221" s="30">
        <f>I220*[1]Eco!$B$25</f>
        <v>51.606000000000002</v>
      </c>
      <c r="J221" s="30">
        <f>J220*[1]Eco!$B$25</f>
        <v>0</v>
      </c>
    </row>
    <row r="222" spans="1:43" x14ac:dyDescent="0.25">
      <c r="A222" s="2" t="s">
        <v>1103</v>
      </c>
      <c r="B222" s="14" t="s">
        <v>1392</v>
      </c>
      <c r="C222" s="168">
        <f>'Calcul éco'!J149</f>
        <v>554.20000000000005</v>
      </c>
      <c r="D222" s="256">
        <f>ROUND(C222*D$82/C$82,0)</f>
        <v>0</v>
      </c>
      <c r="K222" t="s">
        <v>1383</v>
      </c>
      <c r="L222" t="s">
        <v>1393</v>
      </c>
    </row>
    <row r="223" spans="1:43" x14ac:dyDescent="0.25">
      <c r="B223" s="14" t="s">
        <v>1105</v>
      </c>
      <c r="C223" s="168">
        <f>'Calcul éco'!J150</f>
        <v>1500</v>
      </c>
      <c r="D223" s="168">
        <f>C223</f>
        <v>1500</v>
      </c>
      <c r="J223" s="14" t="s">
        <v>1394</v>
      </c>
      <c r="K223" s="30">
        <f>Scénario!K55/0.15</f>
        <v>244.00000000000003</v>
      </c>
      <c r="L223" s="30">
        <f>K223*'Synthèse résultats'!D$82/'Synthèse résultats'!C$82</f>
        <v>0</v>
      </c>
      <c r="AK223" s="40" t="s">
        <v>1133</v>
      </c>
      <c r="AM223" t="s">
        <v>1134</v>
      </c>
      <c r="AN223" t="s">
        <v>1135</v>
      </c>
      <c r="AO223" t="s">
        <v>1136</v>
      </c>
    </row>
    <row r="224" spans="1:43" x14ac:dyDescent="0.25">
      <c r="B224" s="14" t="s">
        <v>1106</v>
      </c>
      <c r="C224" s="168">
        <f>'Calcul éco'!J151</f>
        <v>14386.5</v>
      </c>
      <c r="D224" s="168">
        <f>C224</f>
        <v>14386.5</v>
      </c>
      <c r="G224" s="14"/>
      <c r="H224" s="14"/>
      <c r="J224" s="14" t="s">
        <v>1395</v>
      </c>
      <c r="K224" s="30">
        <f>Scénario!K62</f>
        <v>0</v>
      </c>
      <c r="L224" s="30">
        <f>K224*'Synthèse résultats'!D$82/'Synthèse résultats'!C$82</f>
        <v>0</v>
      </c>
      <c r="AJ224" s="14" t="s">
        <v>332</v>
      </c>
      <c r="AK224" s="30">
        <f>D182</f>
        <v>0</v>
      </c>
      <c r="AL224" t="s">
        <v>1137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1108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1396</v>
      </c>
      <c r="K225" s="30">
        <f>Scénario!K66</f>
        <v>0</v>
      </c>
      <c r="L225" s="30">
        <f>K225*'Synthèse résultats'!D$82/'Synthèse résultats'!C$82</f>
        <v>0</v>
      </c>
      <c r="AJ225" s="14" t="s">
        <v>1138</v>
      </c>
      <c r="AK225" s="30">
        <f>D183</f>
        <v>0</v>
      </c>
      <c r="AL225" t="s">
        <v>1139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1110</v>
      </c>
      <c r="C226" s="168">
        <f>'Calcul éco'!J153</f>
        <v>15531</v>
      </c>
      <c r="D226" s="256">
        <f>ROUND(C226*D$82/C$82,0)</f>
        <v>0</v>
      </c>
      <c r="G226" s="14"/>
      <c r="H226" s="14"/>
      <c r="AJ226" s="14" t="s">
        <v>1140</v>
      </c>
      <c r="AK226" s="30">
        <f>D187</f>
        <v>0</v>
      </c>
      <c r="AN226" s="168">
        <f>[1]Protect!$B$83</f>
        <v>2000</v>
      </c>
      <c r="AO226" s="168">
        <f t="shared" ref="AO226:AO227" si="108">AK226*AN226</f>
        <v>0</v>
      </c>
    </row>
    <row r="227" spans="1:49" x14ac:dyDescent="0.25">
      <c r="B227" s="14" t="s">
        <v>1112</v>
      </c>
      <c r="C227" s="168">
        <f>'Calcul éco'!J154</f>
        <v>5712</v>
      </c>
      <c r="D227" s="256">
        <f t="shared" ref="D227:D233" si="109">ROUND(C227*D$82/C$82,0)</f>
        <v>0</v>
      </c>
      <c r="AJ227" s="14" t="s">
        <v>1141</v>
      </c>
      <c r="AK227" s="30">
        <f>D188</f>
        <v>0</v>
      </c>
      <c r="AN227" s="168">
        <f>[1]Protect!$B$84</f>
        <v>5000</v>
      </c>
      <c r="AO227" s="168">
        <f t="shared" si="108"/>
        <v>0</v>
      </c>
      <c r="AQ227" t="s">
        <v>1142</v>
      </c>
      <c r="AR227" t="s">
        <v>1143</v>
      </c>
      <c r="AS227" t="s">
        <v>1144</v>
      </c>
      <c r="AT227" t="s">
        <v>1145</v>
      </c>
      <c r="AU227" t="s">
        <v>1146</v>
      </c>
      <c r="AV227" t="s">
        <v>1147</v>
      </c>
      <c r="AW227" t="s">
        <v>1148</v>
      </c>
    </row>
    <row r="228" spans="1:49" x14ac:dyDescent="0.25">
      <c r="B228" s="14" t="s">
        <v>1114</v>
      </c>
      <c r="C228" s="168"/>
      <c r="D228" s="256">
        <f t="shared" si="109"/>
        <v>0</v>
      </c>
      <c r="AN228" s="14" t="s">
        <v>1149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1117</v>
      </c>
      <c r="C229" s="168">
        <f>'Calcul éco'!J157</f>
        <v>0</v>
      </c>
      <c r="D229" s="256">
        <f t="shared" si="109"/>
        <v>0</v>
      </c>
    </row>
    <row r="230" spans="1:49" x14ac:dyDescent="0.25">
      <c r="B230" s="14" t="s">
        <v>1118</v>
      </c>
      <c r="C230" s="168">
        <f>'Calcul éco'!J158</f>
        <v>0</v>
      </c>
      <c r="D230" s="256">
        <f t="shared" si="109"/>
        <v>0</v>
      </c>
    </row>
    <row r="231" spans="1:49" x14ac:dyDescent="0.25">
      <c r="B231" s="14" t="s">
        <v>1119</v>
      </c>
      <c r="C231" s="168">
        <f>'Calcul éco'!J159</f>
        <v>0</v>
      </c>
      <c r="D231" s="256">
        <f t="shared" si="109"/>
        <v>0</v>
      </c>
      <c r="AJ231" s="14" t="s">
        <v>1150</v>
      </c>
      <c r="AK231" s="30">
        <f>D186</f>
        <v>0</v>
      </c>
      <c r="AL231" t="s">
        <v>1139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1120</v>
      </c>
      <c r="C232" s="168">
        <f>'Calcul éco'!J160</f>
        <v>0</v>
      </c>
      <c r="D232" s="256">
        <f t="shared" si="109"/>
        <v>0</v>
      </c>
    </row>
    <row r="233" spans="1:49" x14ac:dyDescent="0.25">
      <c r="B233" s="14" t="s">
        <v>1121</v>
      </c>
      <c r="C233" s="168">
        <f>'Calcul éco'!J161</f>
        <v>0</v>
      </c>
      <c r="D233" s="256">
        <f t="shared" si="109"/>
        <v>0</v>
      </c>
    </row>
    <row r="234" spans="1:49" x14ac:dyDescent="0.25">
      <c r="B234" s="14" t="s">
        <v>1397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1398</v>
      </c>
      <c r="C235" s="168">
        <f>'Calcul éco'!J167</f>
        <v>0</v>
      </c>
      <c r="D235" s="261">
        <f>(D191+D192)*8*[1]Eco!$B$106</f>
        <v>0</v>
      </c>
      <c r="E235" s="17" t="s">
        <v>1390</v>
      </c>
    </row>
    <row r="236" spans="1:49" x14ac:dyDescent="0.25">
      <c r="B236" s="14" t="s">
        <v>1399</v>
      </c>
      <c r="C236" s="168">
        <f>ROUND(SUM(C222:C235),0)</f>
        <v>37684</v>
      </c>
      <c r="D236" s="261">
        <f>ROUND(SUM(D222:D235),0)</f>
        <v>15887</v>
      </c>
      <c r="E236" s="17" t="s">
        <v>1400</v>
      </c>
    </row>
    <row r="237" spans="1:49" x14ac:dyDescent="0.25">
      <c r="A237" s="2" t="s">
        <v>1401</v>
      </c>
      <c r="B237" s="206" t="s">
        <v>1127</v>
      </c>
      <c r="C237" s="168">
        <f>C194+C211-C221-C236</f>
        <v>41290.199999999997</v>
      </c>
      <c r="D237" s="261">
        <f>D194+D211-D221-D236</f>
        <v>-15887</v>
      </c>
    </row>
    <row r="238" spans="1:49" x14ac:dyDescent="0.25">
      <c r="B238" s="206" t="s">
        <v>1128</v>
      </c>
      <c r="C238" s="168">
        <f>ROUND(C237/Scénario!$K$4,0)</f>
        <v>20645</v>
      </c>
      <c r="D238" s="261" t="e">
        <f>ROUND(D237/D83,0)</f>
        <v>#DIV/0!</v>
      </c>
    </row>
    <row r="239" spans="1:49" x14ac:dyDescent="0.25">
      <c r="B239" s="206" t="s">
        <v>1129</v>
      </c>
      <c r="C239" s="168">
        <f>'Calcul éco'!B177</f>
        <v>6000</v>
      </c>
      <c r="D239" s="261">
        <f>C239</f>
        <v>6000</v>
      </c>
    </row>
    <row r="240" spans="1:49" x14ac:dyDescent="0.25">
      <c r="B240" s="206" t="s">
        <v>1130</v>
      </c>
      <c r="C240" s="264">
        <f>'Calcul éco'!B178</f>
        <v>0</v>
      </c>
      <c r="D240" s="265">
        <f>AW228+AW231</f>
        <v>0</v>
      </c>
      <c r="E240" s="17" t="s">
        <v>1390</v>
      </c>
    </row>
    <row r="241" spans="1:15" x14ac:dyDescent="0.25">
      <c r="B241" s="206" t="s">
        <v>1131</v>
      </c>
      <c r="C241" s="266">
        <f>ROUND(C237-C239-C240,0)</f>
        <v>35290</v>
      </c>
      <c r="D241" s="265">
        <f>ROUND(D237-D239-D240,0)</f>
        <v>-21887</v>
      </c>
    </row>
    <row r="242" spans="1:15" x14ac:dyDescent="0.25">
      <c r="B242" s="206" t="s">
        <v>1132</v>
      </c>
      <c r="C242" s="168">
        <f>ROUND(C241/Scénario!K4,0)</f>
        <v>17645</v>
      </c>
      <c r="D242" s="261" t="e">
        <f>ROUND(D241/D83,0)</f>
        <v>#DIV/0!</v>
      </c>
    </row>
    <row r="243" spans="1:15" x14ac:dyDescent="0.25">
      <c r="B243" s="206" t="s">
        <v>1402</v>
      </c>
      <c r="C243" s="168">
        <f>'Calcul éco'!X237+'Calcul éco'!X240</f>
        <v>0</v>
      </c>
      <c r="D243" s="168">
        <f>C243</f>
        <v>0</v>
      </c>
    </row>
    <row r="244" spans="1:15" x14ac:dyDescent="0.25">
      <c r="B244" s="206" t="s">
        <v>1403</v>
      </c>
      <c r="C244" s="168">
        <f>'Calcul éco'!AA237+'Calcul éco'!AA240</f>
        <v>0</v>
      </c>
      <c r="D244" s="168">
        <f>C244</f>
        <v>0</v>
      </c>
    </row>
    <row r="245" spans="1:15" x14ac:dyDescent="0.25">
      <c r="A245" s="2" t="s">
        <v>1404</v>
      </c>
      <c r="B245" s="14" t="s">
        <v>570</v>
      </c>
      <c r="C245" s="267">
        <f>Travail!F5</f>
        <v>574</v>
      </c>
      <c r="D245" s="168">
        <f>C245</f>
        <v>574</v>
      </c>
    </row>
    <row r="246" spans="1:15" x14ac:dyDescent="0.25">
      <c r="B246" s="14" t="s">
        <v>584</v>
      </c>
      <c r="C246" s="267">
        <f>Travail!F6</f>
        <v>0</v>
      </c>
      <c r="D246" s="168">
        <f t="shared" ref="D246:D247" si="112">C246</f>
        <v>0</v>
      </c>
    </row>
    <row r="247" spans="1:15" x14ac:dyDescent="0.25">
      <c r="B247" s="14" t="s">
        <v>591</v>
      </c>
      <c r="C247" s="267">
        <f>Travail!F7</f>
        <v>0</v>
      </c>
      <c r="D247" s="168">
        <f t="shared" si="112"/>
        <v>0</v>
      </c>
    </row>
    <row r="248" spans="1:15" x14ac:dyDescent="0.25">
      <c r="A248" s="43" t="s">
        <v>783</v>
      </c>
      <c r="B248" s="14" t="s">
        <v>570</v>
      </c>
      <c r="C248" s="267">
        <f>Travail!F9</f>
        <v>749.59487364620941</v>
      </c>
      <c r="D248" s="261">
        <f>ROUND(SUM(AV163:BS163),1)</f>
        <v>0</v>
      </c>
    </row>
    <row r="249" spans="1:15" x14ac:dyDescent="0.25">
      <c r="B249" s="14" t="s">
        <v>584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591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786</v>
      </c>
      <c r="B251" s="14" t="s">
        <v>570</v>
      </c>
      <c r="C251" s="267">
        <f>Travail!F16</f>
        <v>224</v>
      </c>
      <c r="D251" s="168">
        <f>C251</f>
        <v>224</v>
      </c>
      <c r="J251" s="40" t="s">
        <v>811</v>
      </c>
      <c r="M251" s="5"/>
      <c r="N251" s="5"/>
      <c r="O251" s="166"/>
    </row>
    <row r="252" spans="1:15" x14ac:dyDescent="0.25">
      <c r="A252" s="43"/>
      <c r="B252" s="14" t="s">
        <v>584</v>
      </c>
      <c r="C252" s="267">
        <f>Travail!F17</f>
        <v>0</v>
      </c>
      <c r="D252" s="168">
        <f t="shared" ref="D252:D253" si="113">C252</f>
        <v>0</v>
      </c>
      <c r="J252" s="37" t="s">
        <v>812</v>
      </c>
      <c r="K252" s="166" t="s">
        <v>50</v>
      </c>
      <c r="L252" t="s">
        <v>813</v>
      </c>
      <c r="M252" s="5"/>
      <c r="N252" s="5"/>
      <c r="O252" s="166"/>
    </row>
    <row r="253" spans="1:15" x14ac:dyDescent="0.25">
      <c r="A253" s="43"/>
      <c r="B253" s="14" t="s">
        <v>591</v>
      </c>
      <c r="C253" s="267">
        <f>Travail!F18</f>
        <v>0</v>
      </c>
      <c r="D253" s="168">
        <f t="shared" si="113"/>
        <v>0</v>
      </c>
      <c r="J253" s="14" t="s">
        <v>815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793</v>
      </c>
      <c r="B254" s="14" t="s">
        <v>570</v>
      </c>
      <c r="C254" s="267">
        <f>Travail!F20</f>
        <v>0</v>
      </c>
      <c r="D254" s="168">
        <f>Travail!G20</f>
        <v>0</v>
      </c>
      <c r="J254" s="14" t="s">
        <v>817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584</v>
      </c>
      <c r="C255" s="267">
        <f>Travail!F21</f>
        <v>0</v>
      </c>
      <c r="D255" s="168">
        <f>Travail!G21</f>
        <v>0</v>
      </c>
      <c r="J255" s="32" t="s">
        <v>819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591</v>
      </c>
      <c r="C256" s="267">
        <f>Travail!F22</f>
        <v>0</v>
      </c>
      <c r="D256" s="168">
        <f>Travail!G22</f>
        <v>0</v>
      </c>
      <c r="J256" s="32" t="s">
        <v>820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796</v>
      </c>
      <c r="B257" s="14" t="s">
        <v>570</v>
      </c>
      <c r="C257" s="267">
        <f>Travail!F31</f>
        <v>423.5</v>
      </c>
      <c r="D257" s="256">
        <f>ROUND(C257*D$82/C$82,0)</f>
        <v>0</v>
      </c>
      <c r="E257" s="17" t="s">
        <v>1405</v>
      </c>
      <c r="J257" s="32" t="s">
        <v>821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584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822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591</v>
      </c>
      <c r="C259" s="267">
        <f>Travail!F33</f>
        <v>0</v>
      </c>
      <c r="D259" s="256">
        <f t="shared" si="115"/>
        <v>0</v>
      </c>
      <c r="J259" s="32" t="s">
        <v>823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799</v>
      </c>
      <c r="B260" s="14" t="s">
        <v>570</v>
      </c>
      <c r="C260" s="267">
        <f>ROUND(Travail!F35,0)</f>
        <v>765</v>
      </c>
      <c r="D260" s="261">
        <f>ROUND(Travail!B35+(Travail!D35*Travail!C35*'Synthèse résultats'!G63),0)</f>
        <v>220</v>
      </c>
      <c r="E260" s="17" t="s">
        <v>1406</v>
      </c>
      <c r="J260" s="32" t="s">
        <v>824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804</v>
      </c>
      <c r="B261" s="14" t="s">
        <v>570</v>
      </c>
      <c r="C261" s="267">
        <f>Travail!F39</f>
        <v>1157</v>
      </c>
      <c r="D261" s="256">
        <f>ROUND(C261*G63,0)</f>
        <v>0</v>
      </c>
      <c r="E261" s="17" t="s">
        <v>1407</v>
      </c>
      <c r="J261" s="32" t="s">
        <v>825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1408</v>
      </c>
      <c r="B262" s="14" t="s">
        <v>815</v>
      </c>
      <c r="C262" s="267">
        <f>Travail!F50</f>
        <v>0</v>
      </c>
      <c r="D262" s="261">
        <f t="shared" ref="D262:D271" si="116">ROUND(K253*L253,0)</f>
        <v>0</v>
      </c>
      <c r="E262" s="17" t="s">
        <v>1409</v>
      </c>
      <c r="J262" s="32" t="s">
        <v>827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817</v>
      </c>
      <c r="C263" s="267">
        <f>Travail!F51</f>
        <v>0</v>
      </c>
      <c r="D263" s="261">
        <f t="shared" si="116"/>
        <v>0</v>
      </c>
    </row>
    <row r="264" spans="1:15" x14ac:dyDescent="0.25">
      <c r="B264" s="32" t="s">
        <v>819</v>
      </c>
      <c r="C264" s="267">
        <f>Travail!F52</f>
        <v>0</v>
      </c>
      <c r="D264" s="261">
        <f t="shared" si="116"/>
        <v>0</v>
      </c>
    </row>
    <row r="265" spans="1:15" x14ac:dyDescent="0.25">
      <c r="B265" s="32" t="s">
        <v>820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821</v>
      </c>
      <c r="C266" s="267">
        <f>Travail!F54</f>
        <v>24</v>
      </c>
      <c r="D266" s="261">
        <f t="shared" si="116"/>
        <v>0</v>
      </c>
    </row>
    <row r="267" spans="1:15" x14ac:dyDescent="0.25">
      <c r="B267" s="32" t="s">
        <v>822</v>
      </c>
      <c r="C267" s="267">
        <f>Travail!F55</f>
        <v>112</v>
      </c>
      <c r="D267" s="261">
        <f t="shared" si="116"/>
        <v>0</v>
      </c>
    </row>
    <row r="268" spans="1:15" x14ac:dyDescent="0.25">
      <c r="B268" s="32" t="s">
        <v>823</v>
      </c>
      <c r="C268" s="267">
        <f>Travail!F56</f>
        <v>47</v>
      </c>
      <c r="D268" s="261">
        <f t="shared" si="116"/>
        <v>0</v>
      </c>
    </row>
    <row r="269" spans="1:15" x14ac:dyDescent="0.25">
      <c r="B269" s="32" t="s">
        <v>824</v>
      </c>
      <c r="C269" s="267">
        <f>Travail!F57</f>
        <v>18</v>
      </c>
      <c r="D269" s="261">
        <f t="shared" si="116"/>
        <v>0</v>
      </c>
    </row>
    <row r="270" spans="1:15" x14ac:dyDescent="0.25">
      <c r="B270" s="32" t="s">
        <v>825</v>
      </c>
      <c r="C270" s="267">
        <f>Travail!F58</f>
        <v>0</v>
      </c>
      <c r="D270" s="261">
        <f t="shared" si="116"/>
        <v>0</v>
      </c>
    </row>
    <row r="271" spans="1:15" x14ac:dyDescent="0.25">
      <c r="B271" s="32" t="s">
        <v>827</v>
      </c>
      <c r="C271" s="267">
        <f>Travail!F59</f>
        <v>9</v>
      </c>
      <c r="D271" s="261">
        <f t="shared" si="116"/>
        <v>0</v>
      </c>
    </row>
    <row r="272" spans="1:15" x14ac:dyDescent="0.25">
      <c r="A272" s="23" t="s">
        <v>1410</v>
      </c>
      <c r="B272" s="32" t="s">
        <v>831</v>
      </c>
      <c r="C272" s="267">
        <f>Travail!F61</f>
        <v>120</v>
      </c>
      <c r="D272" s="168">
        <f>C272</f>
        <v>120</v>
      </c>
    </row>
    <row r="273" spans="1:4" x14ac:dyDescent="0.25">
      <c r="B273" s="32" t="s">
        <v>832</v>
      </c>
      <c r="C273" s="267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1411</v>
      </c>
      <c r="C274" s="267">
        <f>SUM(Travail!F63:F65)</f>
        <v>360</v>
      </c>
      <c r="D274" s="168">
        <f t="shared" si="117"/>
        <v>360</v>
      </c>
    </row>
    <row r="275" spans="1:4" x14ac:dyDescent="0.25">
      <c r="A275" s="23" t="s">
        <v>1412</v>
      </c>
      <c r="B275" s="32" t="s">
        <v>1413</v>
      </c>
      <c r="C275" s="267">
        <f>C191*8</f>
        <v>0</v>
      </c>
      <c r="D275" s="168">
        <f>C275</f>
        <v>0</v>
      </c>
    </row>
    <row r="276" spans="1:4" x14ac:dyDescent="0.25">
      <c r="A276" s="23"/>
      <c r="B276" s="32" t="s">
        <v>1414</v>
      </c>
      <c r="C276" s="267">
        <f>C192*8</f>
        <v>0</v>
      </c>
      <c r="D276" s="261">
        <f>D192*8</f>
        <v>0</v>
      </c>
    </row>
    <row r="277" spans="1:4" x14ac:dyDescent="0.25">
      <c r="B277" s="32" t="s">
        <v>1415</v>
      </c>
      <c r="C277" s="267">
        <f>Travail!F75+Travail!F81</f>
        <v>0</v>
      </c>
      <c r="D277" s="168">
        <f>C277</f>
        <v>0</v>
      </c>
    </row>
    <row r="278" spans="1:4" x14ac:dyDescent="0.25">
      <c r="B278" s="32" t="s">
        <v>1416</v>
      </c>
      <c r="C278" s="267">
        <f>Travail!F76</f>
        <v>0</v>
      </c>
      <c r="D278" s="168">
        <f>C278</f>
        <v>0</v>
      </c>
    </row>
    <row r="279" spans="1:4" x14ac:dyDescent="0.25">
      <c r="B279" s="32" t="s">
        <v>1417</v>
      </c>
      <c r="C279" s="267">
        <f>Travail!F86</f>
        <v>0</v>
      </c>
      <c r="D279" s="267">
        <f>C279</f>
        <v>0</v>
      </c>
    </row>
    <row r="280" spans="1:4" x14ac:dyDescent="0.25">
      <c r="B280" s="32" t="s">
        <v>1418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1419</v>
      </c>
      <c r="B281" s="14" t="s">
        <v>1420</v>
      </c>
      <c r="C281" s="168">
        <f>ROUND(C245+C248+C251+C254+C257+C260+C261,0)</f>
        <v>3893</v>
      </c>
      <c r="D281" s="261">
        <f>ROUND(D245+D248+D251+D254+D257+D260+D261,0)</f>
        <v>1018</v>
      </c>
    </row>
    <row r="282" spans="1:4" x14ac:dyDescent="0.25">
      <c r="B282" s="14" t="s">
        <v>1421</v>
      </c>
      <c r="C282" s="168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1422</v>
      </c>
      <c r="C283" s="168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1423</v>
      </c>
      <c r="C284" s="168">
        <f>ROUND(C281/Troupeau!$B$17,2)</f>
        <v>15.95</v>
      </c>
      <c r="D284" s="168" t="e">
        <f>ROUND(D281/(Troupeau!$B$17*G63),2)</f>
        <v>#DIV/0!</v>
      </c>
    </row>
    <row r="285" spans="1:4" x14ac:dyDescent="0.25">
      <c r="B285" s="14" t="s">
        <v>1424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1425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1426</v>
      </c>
      <c r="C287" s="168">
        <f>SUM(C281:C283)</f>
        <v>3893</v>
      </c>
      <c r="D287" s="261">
        <f>SUM(D281:D283)</f>
        <v>1018</v>
      </c>
    </row>
    <row r="288" spans="1:4" x14ac:dyDescent="0.25">
      <c r="B288" s="14" t="s">
        <v>1427</v>
      </c>
      <c r="C288" s="168">
        <f>SUM(C272:C274)</f>
        <v>600</v>
      </c>
      <c r="D288" s="261">
        <f>SUM(D272:D274)</f>
        <v>600</v>
      </c>
    </row>
    <row r="289" spans="2:4" x14ac:dyDescent="0.25">
      <c r="B289" s="14" t="s">
        <v>1428</v>
      </c>
      <c r="C289" s="168">
        <f>SUM(C262:C271)</f>
        <v>210</v>
      </c>
      <c r="D289" s="261">
        <f>SUM(D262:D271)</f>
        <v>0</v>
      </c>
    </row>
    <row r="290" spans="2:4" x14ac:dyDescent="0.25">
      <c r="B290" s="14" t="s">
        <v>1429</v>
      </c>
      <c r="C290" s="267">
        <f>C275+C276+C277</f>
        <v>0</v>
      </c>
      <c r="D290" s="268">
        <f>D275+D276+D277</f>
        <v>0</v>
      </c>
    </row>
    <row r="291" spans="2:4" x14ac:dyDescent="0.25">
      <c r="B291" s="14" t="s">
        <v>1430</v>
      </c>
      <c r="C291" s="267">
        <f>C278+C279+C280</f>
        <v>0</v>
      </c>
      <c r="D291" s="267">
        <f>D278+D279+D280</f>
        <v>0</v>
      </c>
    </row>
    <row r="292" spans="2:4" x14ac:dyDescent="0.25">
      <c r="B292" s="14" t="s">
        <v>908</v>
      </c>
      <c r="C292" s="168">
        <f>ROUND(SUM(C287:C291),0)</f>
        <v>4703</v>
      </c>
      <c r="D292" s="261">
        <f>ROUND(SUM(D287:D291),0)</f>
        <v>1618</v>
      </c>
    </row>
    <row r="293" spans="2:4" x14ac:dyDescent="0.25">
      <c r="B293" s="14" t="s">
        <v>909</v>
      </c>
      <c r="C293" s="168">
        <f>ROUND(IF(Scénario!$K$129=1,SUM(C275:C280),SUM(C278:C280)),0)</f>
        <v>0</v>
      </c>
      <c r="D293" s="168">
        <f>ROUND(IF(Scénario!$K$129=1,SUM(D275:D280),SUM(D278:D280)),0)</f>
        <v>0</v>
      </c>
    </row>
    <row r="294" spans="2:4" x14ac:dyDescent="0.25">
      <c r="B294" s="14" t="s">
        <v>910</v>
      </c>
      <c r="C294" s="168">
        <f>ROUND((C292-C293)/C83,0)</f>
        <v>2352</v>
      </c>
      <c r="D294" s="168" t="e">
        <f>ROUND((D292-D293)/D83,0)</f>
        <v>#DIV/0!</v>
      </c>
    </row>
    <row r="295" spans="2:4" x14ac:dyDescent="0.25">
      <c r="B295" s="14" t="s">
        <v>1450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1452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68">
        <f>IF(Troupeau!$B$3="OL",CdTrp1!AA220,0)</f>
        <v>50.326105663537909</v>
      </c>
    </row>
    <row r="299" spans="2:4" x14ac:dyDescent="0.25">
      <c r="B299" s="14" t="s">
        <v>1454</v>
      </c>
      <c r="C299" s="168">
        <f>IF(Troupeau!$B$3="OL",CdTrp1!AA221,0)</f>
        <v>34.585742122743682</v>
      </c>
    </row>
    <row r="300" spans="2:4" x14ac:dyDescent="0.25">
      <c r="B300" s="14" t="s">
        <v>1455</v>
      </c>
      <c r="C300" s="168">
        <f>IF(Troupeau!$B$3="BV",CdTrp1!AA220,0)+IF(Troupeau!$C$3="BV",CdTrp2!AA220,0)</f>
        <v>0</v>
      </c>
    </row>
    <row r="301" spans="2:4" x14ac:dyDescent="0.25">
      <c r="B301" s="14" t="s">
        <v>1456</v>
      </c>
      <c r="C301" s="168">
        <f>IF(Troupeau!$B$3="BV",CdTrp1!AA221,0)+IF(Troupeau!$C$3="BV",CdTrp2!AA221,0)</f>
        <v>0</v>
      </c>
    </row>
    <row r="302" spans="2:4" x14ac:dyDescent="0.25">
      <c r="B302" s="14" t="s">
        <v>1457</v>
      </c>
      <c r="C302" s="168">
        <f>IF(Troupeau!$B$3="VL",CdTrp1!AA220,0)</f>
        <v>0</v>
      </c>
    </row>
    <row r="303" spans="2:4" x14ac:dyDescent="0.25">
      <c r="B303" s="14" t="s">
        <v>1458</v>
      </c>
      <c r="C303" s="168">
        <f>'Alim -Surf'!H10</f>
        <v>0</v>
      </c>
    </row>
    <row r="304" spans="2:4" x14ac:dyDescent="0.25">
      <c r="B304" s="14" t="s">
        <v>1459</v>
      </c>
      <c r="C304" s="168">
        <f>Protection!BL31</f>
        <v>0</v>
      </c>
    </row>
    <row r="305" spans="2:3" x14ac:dyDescent="0.25">
      <c r="B305" s="14" t="s">
        <v>1460</v>
      </c>
      <c r="C305" s="168">
        <f>Protection!BJ31</f>
        <v>0</v>
      </c>
    </row>
    <row r="306" spans="2:3" x14ac:dyDescent="0.25">
      <c r="B306" s="14" t="s">
        <v>1461</v>
      </c>
      <c r="C306" s="168">
        <f>'Calcul éco'!X233</f>
        <v>0</v>
      </c>
    </row>
    <row r="307" spans="2:3" x14ac:dyDescent="0.25">
      <c r="B307" s="14" t="s">
        <v>1462</v>
      </c>
      <c r="C307" s="168">
        <f>'Calcul éco'!X234</f>
        <v>0</v>
      </c>
    </row>
    <row r="308" spans="2:3" x14ac:dyDescent="0.25">
      <c r="B308" s="14" t="s">
        <v>1463</v>
      </c>
      <c r="C308" s="168">
        <f>'Calcul éco'!X235</f>
        <v>0</v>
      </c>
    </row>
    <row r="309" spans="2:3" x14ac:dyDescent="0.25">
      <c r="B309" s="14" t="s">
        <v>1464</v>
      </c>
      <c r="C309" s="168">
        <f>'Calcul éco'!X236</f>
        <v>0</v>
      </c>
    </row>
    <row r="310" spans="2:3" x14ac:dyDescent="0.25">
      <c r="B310" s="14" t="s">
        <v>1465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4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92</v>
      </c>
      <c r="C1" s="58" t="s">
        <v>93</v>
      </c>
      <c r="D1" s="58" t="s">
        <v>94</v>
      </c>
      <c r="E1" s="58" t="s">
        <v>95</v>
      </c>
    </row>
    <row r="2" spans="1:13" x14ac:dyDescent="0.25">
      <c r="A2" s="2" t="s">
        <v>112</v>
      </c>
    </row>
    <row r="3" spans="1:13" x14ac:dyDescent="0.25">
      <c r="A3" t="s">
        <v>96</v>
      </c>
      <c r="B3" s="77" t="s">
        <v>454</v>
      </c>
      <c r="C3" s="77" t="s">
        <v>455</v>
      </c>
      <c r="D3" s="77"/>
      <c r="E3" s="77"/>
    </row>
    <row r="4" spans="1:13" x14ac:dyDescent="0.25">
      <c r="A4" t="s">
        <v>97</v>
      </c>
      <c r="B4" s="77">
        <v>274</v>
      </c>
      <c r="C4" s="77">
        <v>28</v>
      </c>
      <c r="D4" s="77"/>
      <c r="E4" s="77"/>
      <c r="H4" s="59" t="s">
        <v>324</v>
      </c>
    </row>
    <row r="5" spans="1:13" s="5" customFormat="1" x14ac:dyDescent="0.25">
      <c r="A5" s="5" t="s">
        <v>108</v>
      </c>
      <c r="B5" s="77">
        <v>220</v>
      </c>
      <c r="C5" s="77"/>
      <c r="D5" s="77"/>
      <c r="E5" s="77"/>
      <c r="H5" s="5" t="s">
        <v>435</v>
      </c>
      <c r="I5" s="86"/>
      <c r="J5" s="21"/>
      <c r="K5" s="21"/>
      <c r="L5" s="21"/>
      <c r="M5" s="21"/>
    </row>
    <row r="6" spans="1:13" x14ac:dyDescent="0.25">
      <c r="A6" t="s">
        <v>101</v>
      </c>
      <c r="B6" s="77">
        <v>75</v>
      </c>
      <c r="C6" s="77">
        <v>5</v>
      </c>
      <c r="D6" s="77"/>
      <c r="E6" s="77"/>
      <c r="H6" t="s">
        <v>436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437</v>
      </c>
    </row>
    <row r="8" spans="1:13" s="5" customFormat="1" x14ac:dyDescent="0.25">
      <c r="A8" t="s">
        <v>102</v>
      </c>
      <c r="B8" s="77">
        <v>0</v>
      </c>
      <c r="C8" s="77">
        <v>4</v>
      </c>
      <c r="D8" s="77"/>
      <c r="E8" s="77"/>
      <c r="H8" s="5" t="s">
        <v>427</v>
      </c>
      <c r="I8" s="86"/>
      <c r="J8" s="21"/>
      <c r="K8" s="21"/>
      <c r="L8" s="21"/>
      <c r="M8" s="21"/>
    </row>
    <row r="9" spans="1:13" s="5" customFormat="1" x14ac:dyDescent="0.25">
      <c r="A9" t="s">
        <v>103</v>
      </c>
      <c r="B9" s="77">
        <v>0</v>
      </c>
      <c r="C9" s="77">
        <v>4</v>
      </c>
      <c r="D9" s="77"/>
      <c r="E9" s="77"/>
      <c r="H9" s="5" t="s">
        <v>428</v>
      </c>
      <c r="I9" s="86"/>
      <c r="J9" s="21"/>
      <c r="K9" s="21"/>
      <c r="L9" s="21"/>
      <c r="M9" s="21"/>
    </row>
    <row r="10" spans="1:13" s="5" customFormat="1" x14ac:dyDescent="0.25">
      <c r="A10" t="s">
        <v>104</v>
      </c>
      <c r="B10" s="77">
        <v>0</v>
      </c>
      <c r="C10" s="77">
        <v>0</v>
      </c>
      <c r="D10" s="77"/>
      <c r="E10" s="77"/>
      <c r="H10" s="5" t="s">
        <v>429</v>
      </c>
      <c r="I10" s="86"/>
      <c r="J10" s="21"/>
      <c r="K10" s="21"/>
      <c r="L10" s="21"/>
      <c r="M10" s="21"/>
    </row>
    <row r="11" spans="1:13" s="5" customFormat="1" x14ac:dyDescent="0.25">
      <c r="A11" t="s">
        <v>109</v>
      </c>
      <c r="B11" s="77">
        <v>10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426</v>
      </c>
      <c r="B12" s="77">
        <v>0</v>
      </c>
      <c r="C12" s="77">
        <v>10</v>
      </c>
      <c r="D12" s="77"/>
      <c r="E12" s="77"/>
      <c r="H12" s="5" t="s">
        <v>431</v>
      </c>
      <c r="I12" s="86"/>
      <c r="J12" s="21"/>
      <c r="K12" s="21"/>
      <c r="L12" s="21"/>
      <c r="M12" s="21"/>
    </row>
    <row r="13" spans="1:13" s="5" customFormat="1" x14ac:dyDescent="0.25">
      <c r="A13" s="5" t="s">
        <v>110</v>
      </c>
      <c r="B13" s="77">
        <v>0</v>
      </c>
      <c r="C13" s="77"/>
      <c r="D13" s="77"/>
      <c r="E13" s="77"/>
      <c r="H13" s="5" t="s">
        <v>432</v>
      </c>
      <c r="I13" s="86"/>
      <c r="J13" s="21"/>
      <c r="K13" s="21"/>
      <c r="L13" s="21"/>
      <c r="M13" s="21"/>
    </row>
    <row r="14" spans="1:13" s="5" customFormat="1" x14ac:dyDescent="0.25">
      <c r="A14" s="5" t="s">
        <v>424</v>
      </c>
      <c r="B14" s="77">
        <v>35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433</v>
      </c>
      <c r="B15" s="21" t="s">
        <v>434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105</v>
      </c>
      <c r="J16" s="58" t="s">
        <v>92</v>
      </c>
      <c r="K16" s="58" t="s">
        <v>93</v>
      </c>
      <c r="L16" s="58" t="s">
        <v>94</v>
      </c>
      <c r="M16" s="58" t="s">
        <v>95</v>
      </c>
    </row>
    <row r="17" spans="1:13" x14ac:dyDescent="0.25">
      <c r="A17" t="s">
        <v>91</v>
      </c>
      <c r="B17" s="60">
        <v>244</v>
      </c>
      <c r="C17" s="60">
        <v>0</v>
      </c>
      <c r="D17" s="60"/>
      <c r="E17" s="60"/>
      <c r="H17" s="2" t="s">
        <v>151</v>
      </c>
      <c r="I17" s="22"/>
      <c r="J17" s="60">
        <v>39</v>
      </c>
      <c r="K17" s="60">
        <v>0</v>
      </c>
      <c r="L17" s="60"/>
      <c r="M17" s="60"/>
    </row>
    <row r="18" spans="1:13" x14ac:dyDescent="0.25">
      <c r="A18" t="s">
        <v>107</v>
      </c>
      <c r="B18" s="61">
        <f t="shared" ref="B18:E19" si="0">ROUNDDOWN(B17*J18/100,0)</f>
        <v>231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100</v>
      </c>
      <c r="B19" s="61">
        <f t="shared" si="0"/>
        <v>219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106</v>
      </c>
      <c r="B20" s="61">
        <f>ROUNDDOWN(B18*J20/100,0)</f>
        <v>318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138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284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101</v>
      </c>
      <c r="B22" s="61">
        <f>ROUNDDOWN(B17*J22/100,0)</f>
        <v>48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102</v>
      </c>
      <c r="B23" s="61">
        <f>IF(J$23&gt;1,B22,0)</f>
        <v>48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103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104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109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30441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36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94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142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46.139999999999993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36.6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101</v>
      </c>
      <c r="B51" s="61">
        <f t="shared" ref="B51:B61" si="2">B22*J51</f>
        <v>1.44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101</v>
      </c>
      <c r="I51" s="17">
        <v>17</v>
      </c>
      <c r="J51" s="76">
        <f>HLOOKUP(J$17,[1]Anx!$C$8:$CO$37,$I51)</f>
        <v>0.03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102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102</v>
      </c>
      <c r="I52" s="86">
        <v>18</v>
      </c>
      <c r="J52" s="76">
        <f>HLOOKUP(J$17,[1]Anx!$C$8:$CO$37,$I52)</f>
        <v>0.15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103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103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104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104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109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109</v>
      </c>
      <c r="I55" s="17">
        <v>21</v>
      </c>
      <c r="J55" s="76">
        <f>HLOOKUP(J$17,[1]Anx!$C$8:$CO$37,$I55)</f>
        <v>0.15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7759.2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31.8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16787.2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68.8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2732.7999999999997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351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352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5328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624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353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354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355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356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357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358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359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360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361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362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363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364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365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366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367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368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369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370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371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372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75" zoomScaleNormal="75" workbookViewId="0">
      <pane ySplit="1" topLeftCell="A43" activePane="bottomLeft" state="frozen"/>
      <selection pane="bottomLeft" activeCell="AC203" sqref="AC203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  <c r="AK1" t="s">
        <v>1467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1466</v>
      </c>
      <c r="AI2" s="1">
        <v>277</v>
      </c>
      <c r="AK2" s="50" t="s">
        <v>225</v>
      </c>
      <c r="AL2" s="60">
        <v>185</v>
      </c>
      <c r="AM2" s="60">
        <v>191</v>
      </c>
      <c r="AN2" s="60">
        <v>197</v>
      </c>
      <c r="AO2" s="60">
        <v>189</v>
      </c>
      <c r="AP2" s="60">
        <v>195</v>
      </c>
      <c r="AQ2" s="60">
        <v>202</v>
      </c>
      <c r="AR2" s="60">
        <v>209</v>
      </c>
      <c r="AS2" s="60">
        <v>217</v>
      </c>
      <c r="AT2" s="60">
        <v>225</v>
      </c>
      <c r="AU2" s="60">
        <v>236</v>
      </c>
      <c r="AV2" s="60">
        <v>242</v>
      </c>
      <c r="AW2" s="60">
        <v>242</v>
      </c>
      <c r="AX2" s="60">
        <v>242</v>
      </c>
      <c r="AY2" s="60">
        <v>242</v>
      </c>
      <c r="AZ2" s="60">
        <v>242</v>
      </c>
      <c r="BA2" s="60">
        <v>242</v>
      </c>
      <c r="BB2" s="60">
        <v>242</v>
      </c>
      <c r="BC2" s="60">
        <v>229</v>
      </c>
      <c r="BD2" s="60">
        <v>229</v>
      </c>
      <c r="BE2" s="60">
        <v>229</v>
      </c>
      <c r="BF2" s="60">
        <v>260</v>
      </c>
      <c r="BG2" s="60">
        <v>260</v>
      </c>
      <c r="BH2" s="60">
        <v>185</v>
      </c>
      <c r="BI2" s="60">
        <v>185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154</v>
      </c>
      <c r="AL3" s="60">
        <v>78</v>
      </c>
      <c r="AM3" s="60">
        <v>70</v>
      </c>
      <c r="AN3" s="60">
        <v>62</v>
      </c>
      <c r="AO3" s="60">
        <v>54</v>
      </c>
      <c r="AP3" s="60">
        <v>46</v>
      </c>
      <c r="AQ3" s="60">
        <v>38</v>
      </c>
      <c r="AR3" s="60">
        <v>30</v>
      </c>
      <c r="AS3" s="60">
        <v>21</v>
      </c>
      <c r="AT3" s="60">
        <v>12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3</v>
      </c>
      <c r="BG3" s="60">
        <v>3</v>
      </c>
      <c r="BH3" s="60">
        <v>78</v>
      </c>
      <c r="BI3" s="60">
        <v>78</v>
      </c>
    </row>
    <row r="4" spans="1:61" x14ac:dyDescent="0.25">
      <c r="A4" s="2" t="s">
        <v>325</v>
      </c>
      <c r="AC4" t="s">
        <v>180</v>
      </c>
      <c r="AF4" s="45">
        <f>+Troupeau!J17</f>
        <v>39</v>
      </c>
      <c r="AK4" s="50" t="s">
        <v>155</v>
      </c>
      <c r="AL4" s="60">
        <v>68</v>
      </c>
      <c r="AM4" s="60">
        <v>68</v>
      </c>
      <c r="AN4" s="60">
        <v>68</v>
      </c>
      <c r="AO4" s="60">
        <v>68</v>
      </c>
      <c r="AP4" s="60">
        <v>68</v>
      </c>
      <c r="AQ4" s="60">
        <v>68</v>
      </c>
      <c r="AR4" s="60">
        <v>68</v>
      </c>
      <c r="AS4" s="60">
        <v>68</v>
      </c>
      <c r="AT4" s="60">
        <v>68</v>
      </c>
      <c r="AU4" s="60">
        <v>68</v>
      </c>
      <c r="AV4" s="60">
        <v>54</v>
      </c>
      <c r="AW4" s="60">
        <v>54</v>
      </c>
      <c r="AX4" s="60">
        <v>54</v>
      </c>
      <c r="AY4" s="60">
        <v>54</v>
      </c>
      <c r="AZ4" s="60">
        <v>54</v>
      </c>
      <c r="BA4" s="60">
        <v>54</v>
      </c>
      <c r="BB4" s="60">
        <v>54</v>
      </c>
      <c r="BC4" s="60">
        <v>54</v>
      </c>
      <c r="BD4" s="60">
        <v>54</v>
      </c>
      <c r="BE4" s="60">
        <v>54</v>
      </c>
      <c r="BF4" s="60">
        <v>14</v>
      </c>
      <c r="BG4" s="60">
        <v>14</v>
      </c>
      <c r="BH4" s="60">
        <v>68</v>
      </c>
      <c r="BI4" s="60">
        <v>68</v>
      </c>
    </row>
    <row r="5" spans="1:61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4.2892924232936753</v>
      </c>
      <c r="AG5" s="5"/>
      <c r="AK5" s="50" t="s">
        <v>156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</row>
    <row r="14" spans="1:61" x14ac:dyDescent="0.25">
      <c r="A14" s="44" t="s">
        <v>171</v>
      </c>
    </row>
    <row r="15" spans="1:61" x14ac:dyDescent="0.25">
      <c r="A15" s="50" t="s">
        <v>453</v>
      </c>
      <c r="B15" s="282">
        <f>AL2*Troupeau!$B$17/$AI$2</f>
        <v>162.96028880866427</v>
      </c>
      <c r="C15" s="282">
        <f>AM2*Troupeau!$B$17/$AI$2</f>
        <v>168.24548736462094</v>
      </c>
      <c r="D15" s="282">
        <f>AN2*Troupeau!$B$17/$AI$2</f>
        <v>173.53068592057761</v>
      </c>
      <c r="E15" s="282">
        <f>AO2*Troupeau!$B$17/$AI$2</f>
        <v>166.48375451263539</v>
      </c>
      <c r="F15" s="282">
        <f>AP2*Troupeau!$B$17/$AI$2</f>
        <v>171.76895306859205</v>
      </c>
      <c r="G15" s="282">
        <f>AQ2*Troupeau!$B$17/$AI$2</f>
        <v>177.93501805054152</v>
      </c>
      <c r="H15" s="282">
        <f>AR2*Troupeau!$B$17/$AI$2</f>
        <v>184.10108303249098</v>
      </c>
      <c r="I15" s="282">
        <f>AS2*Troupeau!$B$17/$AI$2</f>
        <v>191.1480144404332</v>
      </c>
      <c r="J15" s="282">
        <f>AT2*Troupeau!$B$17/$AI$2</f>
        <v>198.19494584837545</v>
      </c>
      <c r="K15" s="282">
        <f>AU2*Troupeau!$B$17/$AI$2</f>
        <v>207.88447653429603</v>
      </c>
      <c r="L15" s="282">
        <f>AV2*Troupeau!$B$17/$AI$2</f>
        <v>213.1696750902527</v>
      </c>
      <c r="M15" s="282">
        <f>AW2*Troupeau!$B$17/$AI$2</f>
        <v>213.1696750902527</v>
      </c>
      <c r="N15" s="282">
        <f>AX2*Troupeau!$B$17/$AI$2</f>
        <v>213.1696750902527</v>
      </c>
      <c r="O15" s="282">
        <f>AY2*Troupeau!$B$17/$AI$2</f>
        <v>213.1696750902527</v>
      </c>
      <c r="P15" s="282">
        <f>AZ2*Troupeau!$B$17/$AI$2</f>
        <v>213.1696750902527</v>
      </c>
      <c r="Q15" s="282">
        <f>BA2*Troupeau!$B$17/$AI$2</f>
        <v>213.1696750902527</v>
      </c>
      <c r="R15" s="282">
        <f>BB2*Troupeau!$B$17/$AI$2</f>
        <v>213.1696750902527</v>
      </c>
      <c r="S15" s="282">
        <f>BC2*Troupeau!$B$17/$AI$2</f>
        <v>201.71841155234657</v>
      </c>
      <c r="T15" s="282">
        <f>BD2*Troupeau!$B$17/$AI$2</f>
        <v>201.71841155234657</v>
      </c>
      <c r="U15" s="282">
        <f>BE2*Troupeau!$B$17/$AI$2</f>
        <v>201.71841155234657</v>
      </c>
      <c r="V15" s="282">
        <f>BF2*Troupeau!$B$17/$AI$2</f>
        <v>229.02527075812273</v>
      </c>
      <c r="W15" s="282">
        <f>BG2*Troupeau!$B$17/$AI$2</f>
        <v>229.02527075812273</v>
      </c>
      <c r="X15" s="282">
        <f>BH2*Troupeau!$B$17/$AI$2</f>
        <v>162.96028880866427</v>
      </c>
      <c r="Y15" s="282">
        <f>BI2*Troupeau!$B$17/$AI$2</f>
        <v>162.96028880866427</v>
      </c>
      <c r="Z15" s="52"/>
    </row>
    <row r="16" spans="1:61" x14ac:dyDescent="0.25">
      <c r="A16" s="50" t="s">
        <v>439</v>
      </c>
      <c r="B16" s="282">
        <f>AL3*Troupeau!$B$17/$AI$2</f>
        <v>68.707581227436819</v>
      </c>
      <c r="C16" s="282">
        <f>AM3*Troupeau!$B$17/$AI$2</f>
        <v>61.660649819494587</v>
      </c>
      <c r="D16" s="282">
        <f>AN3*Troupeau!$B$17/$AI$2</f>
        <v>54.613718411552348</v>
      </c>
      <c r="E16" s="282">
        <f>AO3*Troupeau!$B$17/$AI$2</f>
        <v>47.566787003610109</v>
      </c>
      <c r="F16" s="282">
        <f>AP3*Troupeau!$B$17/$AI$2</f>
        <v>40.51985559566787</v>
      </c>
      <c r="G16" s="282">
        <f>AQ3*Troupeau!$B$17/$AI$2</f>
        <v>33.472924187725631</v>
      </c>
      <c r="H16" s="282">
        <f>AR3*Troupeau!$B$17/$AI$2</f>
        <v>26.425992779783392</v>
      </c>
      <c r="I16" s="282">
        <f>AS3*Troupeau!$B$17/$AI$2</f>
        <v>18.498194945848375</v>
      </c>
      <c r="J16" s="282">
        <f>AT3*Troupeau!$B$17/$AI$2</f>
        <v>10.570397111913357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2.6425992779783392</v>
      </c>
      <c r="W16" s="282">
        <f>BG3*Troupeau!$B$17/$AI$2</f>
        <v>2.6425992779783392</v>
      </c>
      <c r="X16" s="282">
        <f>BH3*Troupeau!$B$17/$AI$2</f>
        <v>68.707581227436819</v>
      </c>
      <c r="Y16" s="282">
        <f>BI3*Troupeau!$B$17/$AI$2</f>
        <v>68.707581227436819</v>
      </c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440</v>
      </c>
      <c r="B17" s="282">
        <f>AL4*Troupeau!$B$17/$AI$2</f>
        <v>59.898916967509024</v>
      </c>
      <c r="C17" s="282">
        <f>AM4*Troupeau!$B$17/$AI$2</f>
        <v>59.898916967509024</v>
      </c>
      <c r="D17" s="282">
        <f>AN4*Troupeau!$B$17/$AI$2</f>
        <v>59.898916967509024</v>
      </c>
      <c r="E17" s="282">
        <f>AO4*Troupeau!$B$17/$AI$2</f>
        <v>59.898916967509024</v>
      </c>
      <c r="F17" s="282">
        <f>AP4*Troupeau!$B$17/$AI$2</f>
        <v>59.898916967509024</v>
      </c>
      <c r="G17" s="282">
        <f>AQ4*Troupeau!$B$17/$AI$2</f>
        <v>59.898916967509024</v>
      </c>
      <c r="H17" s="282">
        <f>AR4*Troupeau!$B$17/$AI$2</f>
        <v>59.898916967509024</v>
      </c>
      <c r="I17" s="282">
        <f>AS4*Troupeau!$B$17/$AI$2</f>
        <v>59.898916967509024</v>
      </c>
      <c r="J17" s="282">
        <f>AT4*Troupeau!$B$17/$AI$2</f>
        <v>59.898916967509024</v>
      </c>
      <c r="K17" s="282">
        <f>AU4*Troupeau!$B$17/$AI$2</f>
        <v>59.898916967509024</v>
      </c>
      <c r="L17" s="282">
        <f>AV4*Troupeau!$B$17/$AI$2</f>
        <v>47.566787003610109</v>
      </c>
      <c r="M17" s="282">
        <f>AW4*Troupeau!$B$17/$AI$2</f>
        <v>47.566787003610109</v>
      </c>
      <c r="N17" s="282">
        <f>AX4*Troupeau!$B$17/$AI$2</f>
        <v>47.566787003610109</v>
      </c>
      <c r="O17" s="282">
        <f>AY4*Troupeau!$B$17/$AI$2</f>
        <v>47.566787003610109</v>
      </c>
      <c r="P17" s="282">
        <f>AZ4*Troupeau!$B$17/$AI$2</f>
        <v>47.566787003610109</v>
      </c>
      <c r="Q17" s="282">
        <f>BA4*Troupeau!$B$17/$AI$2</f>
        <v>47.566787003610109</v>
      </c>
      <c r="R17" s="282">
        <f>BB4*Troupeau!$B$17/$AI$2</f>
        <v>47.566787003610109</v>
      </c>
      <c r="S17" s="282">
        <f>BC4*Troupeau!$B$17/$AI$2</f>
        <v>47.566787003610109</v>
      </c>
      <c r="T17" s="282">
        <f>BD4*Troupeau!$B$17/$AI$2</f>
        <v>47.566787003610109</v>
      </c>
      <c r="U17" s="282">
        <f>BE4*Troupeau!$B$17/$AI$2</f>
        <v>47.566787003610109</v>
      </c>
      <c r="V17" s="282">
        <f>BF4*Troupeau!$B$17/$AI$2</f>
        <v>12.332129963898916</v>
      </c>
      <c r="W17" s="282">
        <f>BG4*Troupeau!$B$17/$AI$2</f>
        <v>12.332129963898916</v>
      </c>
      <c r="X17" s="282">
        <f>BH4*Troupeau!$B$17/$AI$2</f>
        <v>59.898916967509024</v>
      </c>
      <c r="Y17" s="282">
        <f>BI4*Troupeau!$B$17/$AI$2</f>
        <v>59.898916967509024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282">
        <f>AL5*Troupeau!$B$17/$AI$2</f>
        <v>5.2851985559566783</v>
      </c>
      <c r="C18" s="282">
        <f>AM5*Troupeau!$B$17/$AI$2</f>
        <v>5.2851985559566783</v>
      </c>
      <c r="D18" s="282">
        <f>AN5*Troupeau!$B$17/$AI$2</f>
        <v>5.2851985559566783</v>
      </c>
      <c r="E18" s="282">
        <f>AO5*Troupeau!$B$17/$AI$2</f>
        <v>5.2851985559566783</v>
      </c>
      <c r="F18" s="282">
        <f>AP5*Troupeau!$B$17/$AI$2</f>
        <v>5.2851985559566783</v>
      </c>
      <c r="G18" s="282">
        <f>AQ5*Troupeau!$B$17/$AI$2</f>
        <v>5.2851985559566783</v>
      </c>
      <c r="H18" s="282">
        <f>AR5*Troupeau!$B$17/$AI$2</f>
        <v>5.2851985559566783</v>
      </c>
      <c r="I18" s="282">
        <f>AS5*Troupeau!$B$17/$AI$2</f>
        <v>5.2851985559566783</v>
      </c>
      <c r="J18" s="282">
        <f>AT5*Troupeau!$B$17/$AI$2</f>
        <v>5.2851985559566783</v>
      </c>
      <c r="K18" s="282">
        <f>AU5*Troupeau!$B$17/$AI$2</f>
        <v>5.2851985559566783</v>
      </c>
      <c r="L18" s="282">
        <f>AV5*Troupeau!$B$17/$AI$2</f>
        <v>0</v>
      </c>
      <c r="M18" s="282">
        <f>AW5*Troupeau!$B$17/$AI$2</f>
        <v>0</v>
      </c>
      <c r="N18" s="282">
        <f>AX5*Troupeau!$B$17/$AI$2</f>
        <v>0</v>
      </c>
      <c r="O18" s="282">
        <f>AY5*Troupeau!$B$17/$AI$2</f>
        <v>0</v>
      </c>
      <c r="P18" s="282">
        <f>AZ5*Troupeau!$B$17/$AI$2</f>
        <v>0</v>
      </c>
      <c r="Q18" s="282">
        <f>BA5*Troupeau!$B$17/$AI$2</f>
        <v>0</v>
      </c>
      <c r="R18" s="282">
        <f>BB5*Troupeau!$B$17/$AI$2</f>
        <v>0</v>
      </c>
      <c r="S18" s="282">
        <f>BC5*Troupeau!$B$17/$AI$2</f>
        <v>0</v>
      </c>
      <c r="T18" s="282">
        <f>BD5*Troupeau!$B$17/$AI$2</f>
        <v>0</v>
      </c>
      <c r="U18" s="282">
        <f>BE5*Troupeau!$B$17/$AI$2</f>
        <v>0</v>
      </c>
      <c r="V18" s="282">
        <f>BF5*Troupeau!$B$17/$AI$2</f>
        <v>5.2851985559566783</v>
      </c>
      <c r="W18" s="282">
        <f>BG5*Troupeau!$B$17/$AI$2</f>
        <v>5.2851985559566783</v>
      </c>
      <c r="X18" s="282">
        <f>BH5*Troupeau!$B$17/$AI$2</f>
        <v>5.2851985559566783</v>
      </c>
      <c r="Y18" s="282">
        <f>BI5*Troupeau!$B$17/$AI$2</f>
        <v>5.2851985559566783</v>
      </c>
      <c r="Z18" s="52"/>
      <c r="AC18" t="s">
        <v>373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7759.2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16787.2</v>
      </c>
      <c r="AK19" s="54">
        <f t="shared" ref="AK19:AK52" si="3">IF($AH19=AK$17,ROUND($AI19/1000,1),0)</f>
        <v>16.8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2732.7999999999997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2.7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5328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624</v>
      </c>
      <c r="AK24" s="54">
        <f t="shared" si="3"/>
        <v>0.6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tardives + antenaises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 + agnelles</v>
      </c>
      <c r="B29" s="60">
        <v>5.4705882352941174E-2</v>
      </c>
      <c r="C29" s="60">
        <v>5.4705882352941174E-2</v>
      </c>
      <c r="D29" s="60">
        <v>5.4705882352941174E-2</v>
      </c>
      <c r="E29" s="60">
        <v>5.4705882352941174E-2</v>
      </c>
      <c r="F29" s="60">
        <v>8.6470588235294132E-2</v>
      </c>
      <c r="G29" s="60">
        <v>8.6470588235294132E-2</v>
      </c>
      <c r="H29" s="60">
        <v>8.6470588235294132E-2</v>
      </c>
      <c r="I29" s="60">
        <v>8.6470588235294132E-2</v>
      </c>
      <c r="J29" s="60">
        <v>8.6470588235294132E-2</v>
      </c>
      <c r="K29" s="60">
        <v>8.6470588235294132E-2</v>
      </c>
      <c r="L29" s="60">
        <v>7.0000000000000007E-2</v>
      </c>
      <c r="M29" s="60">
        <v>7.0000000000000007E-2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5.4705882352941174E-2</v>
      </c>
      <c r="Y29" s="60">
        <v>5.4705882352941174E-2</v>
      </c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0.15</v>
      </c>
      <c r="C30" s="60">
        <v>0.15</v>
      </c>
      <c r="D30" s="60">
        <v>0.15</v>
      </c>
      <c r="E30" s="60">
        <v>0.15</v>
      </c>
      <c r="F30" s="60">
        <v>0.15</v>
      </c>
      <c r="G30" s="60">
        <v>0.15</v>
      </c>
      <c r="H30" s="60">
        <v>0.15</v>
      </c>
      <c r="I30" s="60">
        <v>0.15</v>
      </c>
      <c r="J30" s="60">
        <v>0.15</v>
      </c>
      <c r="K30" s="60">
        <v>0.15</v>
      </c>
      <c r="L30" s="60">
        <v>0.15</v>
      </c>
      <c r="M30" s="60">
        <v>0.15</v>
      </c>
      <c r="N30" s="60">
        <v>0.15</v>
      </c>
      <c r="O30" s="60">
        <v>0.15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v>0.15</v>
      </c>
      <c r="X30" s="60">
        <v>0.15</v>
      </c>
      <c r="Y30" s="60">
        <v>0.15</v>
      </c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Brebis  lot princ</v>
      </c>
      <c r="B39" s="61">
        <f>B15*B27</f>
        <v>24.444043321299642</v>
      </c>
      <c r="C39" s="61">
        <f t="shared" ref="C39:Y48" si="11">C15*C27</f>
        <v>25.236823104693141</v>
      </c>
      <c r="D39" s="61">
        <f t="shared" si="11"/>
        <v>26.029602888086639</v>
      </c>
      <c r="E39" s="61">
        <f t="shared" si="11"/>
        <v>24.972563176895306</v>
      </c>
      <c r="F39" s="61">
        <f t="shared" si="11"/>
        <v>25.765342960288809</v>
      </c>
      <c r="G39" s="61">
        <f t="shared" si="11"/>
        <v>26.690252707581227</v>
      </c>
      <c r="H39" s="61">
        <f t="shared" si="11"/>
        <v>27.615162454873644</v>
      </c>
      <c r="I39" s="61">
        <f t="shared" si="11"/>
        <v>28.672202166064981</v>
      </c>
      <c r="J39" s="61">
        <f t="shared" si="11"/>
        <v>29.729241877256317</v>
      </c>
      <c r="K39" s="61">
        <f t="shared" si="11"/>
        <v>31.182671480144403</v>
      </c>
      <c r="L39" s="61">
        <f t="shared" si="11"/>
        <v>31.975451263537902</v>
      </c>
      <c r="M39" s="61">
        <f t="shared" si="11"/>
        <v>31.975451263537902</v>
      </c>
      <c r="N39" s="61">
        <f t="shared" si="11"/>
        <v>31.975451263537902</v>
      </c>
      <c r="O39" s="61">
        <f t="shared" si="11"/>
        <v>31.975451263537902</v>
      </c>
      <c r="P39" s="61">
        <f t="shared" si="11"/>
        <v>31.975451263537902</v>
      </c>
      <c r="Q39" s="61">
        <f t="shared" si="11"/>
        <v>31.975451263537902</v>
      </c>
      <c r="R39" s="61">
        <f t="shared" si="11"/>
        <v>31.975451263537902</v>
      </c>
      <c r="S39" s="61">
        <f t="shared" si="11"/>
        <v>30.257761732851982</v>
      </c>
      <c r="T39" s="61">
        <f t="shared" si="11"/>
        <v>30.257761732851982</v>
      </c>
      <c r="U39" s="61">
        <f t="shared" si="11"/>
        <v>30.257761732851982</v>
      </c>
      <c r="V39" s="61">
        <f t="shared" si="11"/>
        <v>34.353790613718409</v>
      </c>
      <c r="W39" s="61">
        <f t="shared" si="11"/>
        <v>34.353790613718409</v>
      </c>
      <c r="X39" s="61">
        <f t="shared" si="11"/>
        <v>24.444043321299642</v>
      </c>
      <c r="Y39" s="61">
        <f t="shared" si="11"/>
        <v>24.444043321299642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Brebis tardives + antenaises</v>
      </c>
      <c r="B40" s="61">
        <f t="shared" ref="B40:Q48" si="12">B16*B28</f>
        <v>10.306137184115522</v>
      </c>
      <c r="C40" s="61">
        <f t="shared" si="12"/>
        <v>9.2490974729241877</v>
      </c>
      <c r="D40" s="61">
        <f t="shared" si="12"/>
        <v>8.1920577617328512</v>
      </c>
      <c r="E40" s="61">
        <f t="shared" si="12"/>
        <v>7.1350180505415164</v>
      </c>
      <c r="F40" s="61">
        <f t="shared" si="12"/>
        <v>6.0779783393501807</v>
      </c>
      <c r="G40" s="61">
        <f t="shared" si="12"/>
        <v>5.0209386281588442</v>
      </c>
      <c r="H40" s="61">
        <f t="shared" si="12"/>
        <v>3.9638989169675085</v>
      </c>
      <c r="I40" s="61">
        <f t="shared" si="12"/>
        <v>2.7747292418772562</v>
      </c>
      <c r="J40" s="61">
        <f t="shared" si="12"/>
        <v>1.5855595667870035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0.39638989169675087</v>
      </c>
      <c r="W40" s="61">
        <f t="shared" si="11"/>
        <v>0.39638989169675087</v>
      </c>
      <c r="X40" s="61">
        <f t="shared" si="11"/>
        <v>10.306137184115522</v>
      </c>
      <c r="Y40" s="61">
        <f t="shared" si="11"/>
        <v>10.306137184115522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Brebis vides + agnelles</v>
      </c>
      <c r="B41" s="61">
        <f t="shared" si="12"/>
        <v>3.2768231046931406</v>
      </c>
      <c r="C41" s="61">
        <f t="shared" si="11"/>
        <v>3.2768231046931406</v>
      </c>
      <c r="D41" s="61">
        <f t="shared" si="11"/>
        <v>3.2768231046931406</v>
      </c>
      <c r="E41" s="61">
        <f t="shared" si="11"/>
        <v>3.2768231046931406</v>
      </c>
      <c r="F41" s="61">
        <f t="shared" si="11"/>
        <v>5.1794945848375455</v>
      </c>
      <c r="G41" s="61">
        <f t="shared" si="11"/>
        <v>5.1794945848375455</v>
      </c>
      <c r="H41" s="61">
        <f t="shared" si="11"/>
        <v>5.1794945848375455</v>
      </c>
      <c r="I41" s="61">
        <f t="shared" si="11"/>
        <v>5.1794945848375455</v>
      </c>
      <c r="J41" s="61">
        <f t="shared" si="11"/>
        <v>5.1794945848375455</v>
      </c>
      <c r="K41" s="61">
        <f t="shared" si="11"/>
        <v>5.1794945848375455</v>
      </c>
      <c r="L41" s="61">
        <f t="shared" si="11"/>
        <v>3.3296750902527079</v>
      </c>
      <c r="M41" s="61">
        <f t="shared" si="11"/>
        <v>3.3296750902527079</v>
      </c>
      <c r="N41" s="61">
        <f t="shared" si="11"/>
        <v>7.1350180505415164</v>
      </c>
      <c r="O41" s="61">
        <f t="shared" si="11"/>
        <v>7.1350180505415164</v>
      </c>
      <c r="P41" s="61">
        <f t="shared" si="11"/>
        <v>7.1350180505415164</v>
      </c>
      <c r="Q41" s="61">
        <f t="shared" si="11"/>
        <v>7.1350180505415164</v>
      </c>
      <c r="R41" s="61">
        <f t="shared" si="11"/>
        <v>7.1350180505415164</v>
      </c>
      <c r="S41" s="61">
        <f t="shared" si="11"/>
        <v>7.1350180505415164</v>
      </c>
      <c r="T41" s="61">
        <f t="shared" si="11"/>
        <v>7.1350180505415164</v>
      </c>
      <c r="U41" s="61">
        <f t="shared" si="11"/>
        <v>7.1350180505415164</v>
      </c>
      <c r="V41" s="61">
        <f t="shared" si="11"/>
        <v>1.8498194945848374</v>
      </c>
      <c r="W41" s="61">
        <f t="shared" si="11"/>
        <v>1.8498194945848374</v>
      </c>
      <c r="X41" s="61">
        <f t="shared" si="11"/>
        <v>3.2768231046931406</v>
      </c>
      <c r="Y41" s="61">
        <f t="shared" si="11"/>
        <v>3.2768231046931406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0.79277978339350175</v>
      </c>
      <c r="C42" s="61">
        <f t="shared" si="11"/>
        <v>0.79277978339350175</v>
      </c>
      <c r="D42" s="61">
        <f t="shared" si="11"/>
        <v>0.79277978339350175</v>
      </c>
      <c r="E42" s="61">
        <f t="shared" si="11"/>
        <v>0.79277978339350175</v>
      </c>
      <c r="F42" s="61">
        <f t="shared" si="11"/>
        <v>0.79277978339350175</v>
      </c>
      <c r="G42" s="61">
        <f t="shared" si="11"/>
        <v>0.79277978339350175</v>
      </c>
      <c r="H42" s="61">
        <f t="shared" si="11"/>
        <v>0.79277978339350175</v>
      </c>
      <c r="I42" s="61">
        <f t="shared" si="11"/>
        <v>0.79277978339350175</v>
      </c>
      <c r="J42" s="61">
        <f t="shared" si="11"/>
        <v>0.79277978339350175</v>
      </c>
      <c r="K42" s="61">
        <f t="shared" si="11"/>
        <v>0.79277978339350175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0.79277978339350175</v>
      </c>
      <c r="W42" s="61">
        <f t="shared" si="11"/>
        <v>0.79277978339350175</v>
      </c>
      <c r="X42" s="61">
        <f t="shared" si="11"/>
        <v>0.79277978339350175</v>
      </c>
      <c r="Y42" s="61">
        <f t="shared" si="11"/>
        <v>0.79277978339350175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38.819783393501808</v>
      </c>
      <c r="C49" s="62">
        <f t="shared" ref="C49:Y49" si="13">SUM(C39:C48)</f>
        <v>38.55552346570397</v>
      </c>
      <c r="D49" s="62">
        <f t="shared" si="13"/>
        <v>38.291263537906133</v>
      </c>
      <c r="E49" s="62">
        <f t="shared" si="13"/>
        <v>36.177184115523467</v>
      </c>
      <c r="F49" s="62">
        <f t="shared" si="13"/>
        <v>37.815595667870035</v>
      </c>
      <c r="G49" s="62">
        <f t="shared" si="13"/>
        <v>37.683465703971116</v>
      </c>
      <c r="H49" s="62">
        <f t="shared" si="13"/>
        <v>37.551335740072197</v>
      </c>
      <c r="I49" s="62">
        <f t="shared" si="13"/>
        <v>37.419205776173285</v>
      </c>
      <c r="J49" s="62">
        <f t="shared" si="13"/>
        <v>37.287075812274367</v>
      </c>
      <c r="K49" s="62">
        <f t="shared" si="13"/>
        <v>37.154945848375448</v>
      </c>
      <c r="L49" s="62">
        <f t="shared" si="13"/>
        <v>35.305126353790612</v>
      </c>
      <c r="M49" s="62">
        <f t="shared" si="13"/>
        <v>35.305126353790612</v>
      </c>
      <c r="N49" s="62">
        <f t="shared" si="13"/>
        <v>39.110469314079417</v>
      </c>
      <c r="O49" s="62">
        <f t="shared" si="13"/>
        <v>39.110469314079417</v>
      </c>
      <c r="P49" s="62">
        <f t="shared" si="13"/>
        <v>39.110469314079417</v>
      </c>
      <c r="Q49" s="62">
        <f t="shared" si="13"/>
        <v>39.110469314079417</v>
      </c>
      <c r="R49" s="62">
        <f t="shared" si="13"/>
        <v>39.110469314079417</v>
      </c>
      <c r="S49" s="62">
        <f t="shared" si="13"/>
        <v>37.3927797833935</v>
      </c>
      <c r="T49" s="62">
        <f t="shared" si="13"/>
        <v>37.3927797833935</v>
      </c>
      <c r="U49" s="62">
        <f t="shared" si="13"/>
        <v>37.3927797833935</v>
      </c>
      <c r="V49" s="62">
        <f t="shared" si="13"/>
        <v>37.392779783393493</v>
      </c>
      <c r="W49" s="62">
        <f t="shared" si="13"/>
        <v>37.392779783393493</v>
      </c>
      <c r="X49" s="62">
        <f t="shared" si="13"/>
        <v>38.819783393501808</v>
      </c>
      <c r="Y49" s="62">
        <f t="shared" si="13"/>
        <v>38.819783393501808</v>
      </c>
      <c r="Z49" s="23"/>
      <c r="AA49" s="46">
        <f>AVERAGE(B49:Y49)</f>
        <v>37.813393501805052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41.5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Brebis  lot princ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Brebis tardives + antenaises</v>
      </c>
      <c r="B53" s="60">
        <v>1</v>
      </c>
      <c r="C53" s="60">
        <v>1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Brebis vides + agnelles</v>
      </c>
      <c r="B54" s="60">
        <v>1</v>
      </c>
      <c r="C54" s="60">
        <v>1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0.5</v>
      </c>
      <c r="X54" s="60">
        <v>0.5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17.400000000000002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7.8</v>
      </c>
      <c r="AV54" s="84">
        <f t="shared" si="16"/>
        <v>0</v>
      </c>
      <c r="AW54" s="84">
        <f t="shared" si="16"/>
        <v>2.7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28.463744520976832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1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1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1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 lot princ</v>
      </c>
      <c r="B63" s="61">
        <f t="shared" ref="B63:Y63" si="17">B39*B52*B$3</f>
        <v>378.88267148014444</v>
      </c>
      <c r="C63" s="61">
        <f t="shared" si="17"/>
        <v>391.17075812274368</v>
      </c>
      <c r="D63" s="61">
        <f t="shared" si="17"/>
        <v>364.41444043321297</v>
      </c>
      <c r="E63" s="61">
        <f t="shared" si="17"/>
        <v>174.80794223826715</v>
      </c>
      <c r="F63" s="61">
        <f t="shared" si="17"/>
        <v>199.68140794223828</v>
      </c>
      <c r="G63" s="61">
        <f t="shared" si="17"/>
        <v>206.84945848375452</v>
      </c>
      <c r="H63" s="61">
        <f t="shared" si="17"/>
        <v>207.11371841155233</v>
      </c>
      <c r="I63" s="61">
        <f t="shared" si="17"/>
        <v>215.04151624548734</v>
      </c>
      <c r="J63" s="61">
        <f t="shared" si="17"/>
        <v>230.40162454873646</v>
      </c>
      <c r="K63" s="61">
        <f t="shared" si="17"/>
        <v>241.66570397111911</v>
      </c>
      <c r="L63" s="61">
        <f t="shared" si="17"/>
        <v>239.81588447653428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226.93321299638987</v>
      </c>
      <c r="T63" s="61">
        <f t="shared" si="17"/>
        <v>234.49765342960285</v>
      </c>
      <c r="U63" s="61">
        <f t="shared" si="17"/>
        <v>234.49765342960285</v>
      </c>
      <c r="V63" s="61">
        <f t="shared" si="17"/>
        <v>257.65342960288808</v>
      </c>
      <c r="W63" s="61">
        <f t="shared" si="17"/>
        <v>257.65342960288808</v>
      </c>
      <c r="X63" s="61">
        <f t="shared" si="17"/>
        <v>378.88267148014444</v>
      </c>
      <c r="Y63" s="61">
        <f t="shared" si="17"/>
        <v>378.88267148014444</v>
      </c>
      <c r="Z63" s="52"/>
      <c r="AE63" s="86"/>
    </row>
    <row r="64" spans="1:83" s="5" customFormat="1" hidden="1" x14ac:dyDescent="0.25">
      <c r="A64" s="38" t="str">
        <f>A$16</f>
        <v>Brebis tardives + antenaises</v>
      </c>
      <c r="B64" s="61">
        <f t="shared" ref="B64:Y64" si="18">B40*B53*B$3</f>
        <v>159.7451263537906</v>
      </c>
      <c r="C64" s="61">
        <f t="shared" si="18"/>
        <v>143.36101083032491</v>
      </c>
      <c r="D64" s="61">
        <f t="shared" si="18"/>
        <v>57.344404332129955</v>
      </c>
      <c r="E64" s="61">
        <f t="shared" si="18"/>
        <v>49.945126353790613</v>
      </c>
      <c r="F64" s="61">
        <f t="shared" si="18"/>
        <v>47.1043321299639</v>
      </c>
      <c r="G64" s="61">
        <f t="shared" si="18"/>
        <v>38.912274368231046</v>
      </c>
      <c r="H64" s="61">
        <f t="shared" si="18"/>
        <v>29.729241877256314</v>
      </c>
      <c r="I64" s="61">
        <f t="shared" si="18"/>
        <v>20.810469314079423</v>
      </c>
      <c r="J64" s="61">
        <f t="shared" si="18"/>
        <v>12.288086642599277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5.9458483754512628</v>
      </c>
      <c r="W64" s="61">
        <f t="shared" si="18"/>
        <v>5.9458483754512628</v>
      </c>
      <c r="X64" s="61">
        <f t="shared" si="18"/>
        <v>159.7451263537906</v>
      </c>
      <c r="Y64" s="61">
        <f t="shared" si="18"/>
        <v>159.7451263537906</v>
      </c>
      <c r="Z64" s="52"/>
      <c r="AE64" s="86"/>
    </row>
    <row r="65" spans="1:33" s="5" customFormat="1" hidden="1" x14ac:dyDescent="0.25">
      <c r="A65" s="38" t="str">
        <f>A$17</f>
        <v>Brebis vides + agnelles</v>
      </c>
      <c r="B65" s="61">
        <f t="shared" ref="B65:Y65" si="19">B41*B54*B$3</f>
        <v>50.790758122743682</v>
      </c>
      <c r="C65" s="61">
        <f t="shared" si="19"/>
        <v>50.790758122743682</v>
      </c>
      <c r="D65" s="61">
        <f t="shared" si="19"/>
        <v>22.937761732851985</v>
      </c>
      <c r="E65" s="61">
        <f t="shared" si="19"/>
        <v>22.937761732851985</v>
      </c>
      <c r="F65" s="61">
        <f t="shared" si="19"/>
        <v>40.141083032490975</v>
      </c>
      <c r="G65" s="61">
        <f t="shared" si="19"/>
        <v>40.141083032490975</v>
      </c>
      <c r="H65" s="61">
        <f t="shared" si="19"/>
        <v>38.846209386281593</v>
      </c>
      <c r="I65" s="61">
        <f t="shared" si="19"/>
        <v>38.846209386281593</v>
      </c>
      <c r="J65" s="61">
        <f t="shared" si="19"/>
        <v>40.141083032490975</v>
      </c>
      <c r="K65" s="61">
        <f t="shared" si="19"/>
        <v>40.141083032490975</v>
      </c>
      <c r="L65" s="61">
        <f t="shared" si="19"/>
        <v>24.97256317689531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55.296389891696755</v>
      </c>
      <c r="R65" s="61">
        <f t="shared" si="19"/>
        <v>53.512635379061372</v>
      </c>
      <c r="S65" s="61">
        <f t="shared" si="19"/>
        <v>53.512635379061372</v>
      </c>
      <c r="T65" s="61">
        <f t="shared" si="19"/>
        <v>55.296389891696755</v>
      </c>
      <c r="U65" s="61">
        <f t="shared" si="19"/>
        <v>55.296389891696755</v>
      </c>
      <c r="V65" s="61">
        <f t="shared" si="19"/>
        <v>13.87364620938628</v>
      </c>
      <c r="W65" s="61">
        <f t="shared" si="19"/>
        <v>13.87364620938628</v>
      </c>
      <c r="X65" s="61">
        <f t="shared" si="19"/>
        <v>25.395379061371841</v>
      </c>
      <c r="Y65" s="61">
        <f t="shared" si="19"/>
        <v>50.790758122743682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12.288086642599277</v>
      </c>
      <c r="C66" s="61">
        <f t="shared" si="20"/>
        <v>12.288086642599277</v>
      </c>
      <c r="D66" s="61">
        <f t="shared" si="20"/>
        <v>11.098916967509025</v>
      </c>
      <c r="E66" s="61">
        <f t="shared" si="20"/>
        <v>11.098916967509025</v>
      </c>
      <c r="F66" s="61">
        <f t="shared" si="20"/>
        <v>12.288086642599277</v>
      </c>
      <c r="G66" s="61">
        <f t="shared" si="20"/>
        <v>6.1440433212996384</v>
      </c>
      <c r="H66" s="61">
        <f t="shared" si="20"/>
        <v>5.9458483754512628</v>
      </c>
      <c r="I66" s="61">
        <f t="shared" si="20"/>
        <v>5.9458483754512628</v>
      </c>
      <c r="J66" s="61">
        <f t="shared" si="20"/>
        <v>6.1440433212996384</v>
      </c>
      <c r="K66" s="61">
        <f t="shared" si="20"/>
        <v>6.1440433212996384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11.891696750902526</v>
      </c>
      <c r="W66" s="61">
        <f t="shared" si="20"/>
        <v>11.891696750902526</v>
      </c>
      <c r="X66" s="61">
        <f t="shared" si="20"/>
        <v>12.288086642599277</v>
      </c>
      <c r="Y66" s="61">
        <f t="shared" si="20"/>
        <v>12.288086642599277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602</v>
      </c>
      <c r="C73" s="64">
        <f t="shared" ref="C73:Y73" si="27">ROUND(SUM(C63:C72),0)</f>
        <v>598</v>
      </c>
      <c r="D73" s="64">
        <f t="shared" si="27"/>
        <v>456</v>
      </c>
      <c r="E73" s="64">
        <f t="shared" si="27"/>
        <v>259</v>
      </c>
      <c r="F73" s="64">
        <f t="shared" si="27"/>
        <v>299</v>
      </c>
      <c r="G73" s="64">
        <f t="shared" si="27"/>
        <v>292</v>
      </c>
      <c r="H73" s="64">
        <f t="shared" si="27"/>
        <v>282</v>
      </c>
      <c r="I73" s="64">
        <f t="shared" si="27"/>
        <v>281</v>
      </c>
      <c r="J73" s="64">
        <f t="shared" si="27"/>
        <v>289</v>
      </c>
      <c r="K73" s="64">
        <f t="shared" si="27"/>
        <v>288</v>
      </c>
      <c r="L73" s="64">
        <f t="shared" si="27"/>
        <v>265</v>
      </c>
      <c r="M73" s="64">
        <f t="shared" si="27"/>
        <v>0</v>
      </c>
      <c r="N73" s="64">
        <f t="shared" si="27"/>
        <v>0</v>
      </c>
      <c r="O73" s="64">
        <f t="shared" si="27"/>
        <v>0</v>
      </c>
      <c r="P73" s="64">
        <f t="shared" si="27"/>
        <v>0</v>
      </c>
      <c r="Q73" s="64">
        <f t="shared" si="27"/>
        <v>55</v>
      </c>
      <c r="R73" s="64">
        <f t="shared" si="27"/>
        <v>54</v>
      </c>
      <c r="S73" s="64">
        <f t="shared" si="27"/>
        <v>280</v>
      </c>
      <c r="T73" s="64">
        <f t="shared" si="27"/>
        <v>290</v>
      </c>
      <c r="U73" s="64">
        <f t="shared" si="27"/>
        <v>290</v>
      </c>
      <c r="V73" s="64">
        <f t="shared" si="27"/>
        <v>289</v>
      </c>
      <c r="W73" s="64">
        <f t="shared" si="27"/>
        <v>289</v>
      </c>
      <c r="X73" s="64">
        <f t="shared" si="27"/>
        <v>576</v>
      </c>
      <c r="Y73" s="64">
        <f t="shared" si="27"/>
        <v>602</v>
      </c>
      <c r="Z73" s="52"/>
      <c r="AA73" s="56">
        <f>ROUND(SUM(B73:Y73),0)</f>
        <v>6636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Brebis  lot princ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tardives + antenaises</v>
      </c>
      <c r="B77" s="60"/>
      <c r="C77" s="60"/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Brebis vides + 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>
        <v>1</v>
      </c>
      <c r="X78" s="60"/>
      <c r="Y78" s="60"/>
      <c r="AB78" t="s">
        <v>449</v>
      </c>
      <c r="AC78">
        <f>COUNTIF($B$76:$Y$85,"&gt;0")/2</f>
        <v>25.5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>
        <v>1</v>
      </c>
      <c r="AC79">
        <f>COUNTIF($B$76:$Y$85,AB79)/2</f>
        <v>20.5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 s="141">
        <v>2</v>
      </c>
      <c r="AC80">
        <f t="shared" ref="AC80:AC82" si="28"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3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AB82">
        <v>4</v>
      </c>
      <c r="AC82">
        <f t="shared" si="28"/>
        <v>0</v>
      </c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Brebis tardives + antenaises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 + 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 lot princ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16.190000000000001</v>
      </c>
      <c r="J99" s="61">
        <f t="shared" si="29"/>
        <v>16.190000000000001</v>
      </c>
      <c r="K99" s="61">
        <f t="shared" si="29"/>
        <v>16.190000000000001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10.07</v>
      </c>
      <c r="U99" s="61">
        <f t="shared" si="29"/>
        <v>7.91</v>
      </c>
      <c r="V99" s="61">
        <f t="shared" si="29"/>
        <v>14.3</v>
      </c>
      <c r="W99" s="61">
        <f t="shared" si="29"/>
        <v>14.3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Brebis tardives + antenaises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Brebis vides + 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10.07</v>
      </c>
      <c r="C103" s="61">
        <f t="shared" si="33"/>
        <v>10.07</v>
      </c>
      <c r="D103" s="61">
        <f t="shared" si="33"/>
        <v>10.07</v>
      </c>
      <c r="E103" s="61">
        <f t="shared" si="33"/>
        <v>10.07</v>
      </c>
      <c r="F103" s="61">
        <f t="shared" si="33"/>
        <v>10.07</v>
      </c>
      <c r="G103" s="61">
        <f t="shared" si="33"/>
        <v>10.07</v>
      </c>
      <c r="H103" s="61">
        <f t="shared" si="33"/>
        <v>10.07</v>
      </c>
      <c r="I103" s="61">
        <f t="shared" si="33"/>
        <v>10.07</v>
      </c>
      <c r="J103" s="61">
        <f t="shared" si="33"/>
        <v>10.07</v>
      </c>
      <c r="K103" s="61">
        <f t="shared" si="33"/>
        <v>10.07</v>
      </c>
      <c r="L103" s="61">
        <f t="shared" si="33"/>
        <v>10.07</v>
      </c>
      <c r="M103" s="61">
        <f t="shared" si="33"/>
        <v>10.07</v>
      </c>
      <c r="N103" s="61">
        <f t="shared" si="33"/>
        <v>10.07</v>
      </c>
      <c r="O103" s="61">
        <f t="shared" si="33"/>
        <v>10.07</v>
      </c>
      <c r="P103" s="61">
        <f t="shared" si="33"/>
        <v>10.07</v>
      </c>
      <c r="Q103" s="61">
        <f t="shared" si="33"/>
        <v>10.07</v>
      </c>
      <c r="R103" s="61">
        <f t="shared" si="33"/>
        <v>10.07</v>
      </c>
      <c r="S103" s="61">
        <f t="shared" si="33"/>
        <v>10.07</v>
      </c>
      <c r="T103" s="61">
        <f t="shared" si="33"/>
        <v>10.07</v>
      </c>
      <c r="U103" s="61">
        <f t="shared" si="33"/>
        <v>10.07</v>
      </c>
      <c r="V103" s="61">
        <f t="shared" si="33"/>
        <v>10.07</v>
      </c>
      <c r="W103" s="61">
        <f t="shared" si="33"/>
        <v>10.07</v>
      </c>
      <c r="X103" s="61">
        <f t="shared" si="33"/>
        <v>10.07</v>
      </c>
      <c r="Y103" s="61">
        <f t="shared" si="33"/>
        <v>10.07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 lot princ</v>
      </c>
      <c r="B110" s="61">
        <f t="shared" ref="B110:Y110" si="39">(B39*B$3*B99)/1000</f>
        <v>6.1341104512635392</v>
      </c>
      <c r="C110" s="61">
        <f t="shared" si="39"/>
        <v>6.3330545740072202</v>
      </c>
      <c r="D110" s="61">
        <f t="shared" si="39"/>
        <v>5.8998697906137183</v>
      </c>
      <c r="E110" s="61">
        <f t="shared" si="39"/>
        <v>5.6602811696750903</v>
      </c>
      <c r="F110" s="61">
        <f t="shared" si="39"/>
        <v>6.4656839891696762</v>
      </c>
      <c r="G110" s="61">
        <f t="shared" si="39"/>
        <v>6.6977854657039719</v>
      </c>
      <c r="H110" s="61">
        <f t="shared" si="39"/>
        <v>6.7063422021660646</v>
      </c>
      <c r="I110" s="61">
        <f t="shared" si="39"/>
        <v>6.9630442960288814</v>
      </c>
      <c r="J110" s="61">
        <f t="shared" si="39"/>
        <v>7.4604046028880875</v>
      </c>
      <c r="K110" s="61">
        <f t="shared" si="39"/>
        <v>7.8251354945848384</v>
      </c>
      <c r="L110" s="61">
        <f t="shared" si="39"/>
        <v>4.8298919133574012</v>
      </c>
      <c r="M110" s="61">
        <f t="shared" si="39"/>
        <v>4.8298919133574012</v>
      </c>
      <c r="N110" s="61">
        <f t="shared" si="39"/>
        <v>4.9908883104693134</v>
      </c>
      <c r="O110" s="61">
        <f t="shared" si="39"/>
        <v>4.9908883104693134</v>
      </c>
      <c r="P110" s="61">
        <f t="shared" si="39"/>
        <v>4.9908883104693134</v>
      </c>
      <c r="Q110" s="61">
        <f t="shared" si="39"/>
        <v>4.9908883104693134</v>
      </c>
      <c r="R110" s="61">
        <f t="shared" si="39"/>
        <v>4.8298919133574012</v>
      </c>
      <c r="S110" s="61">
        <f t="shared" si="39"/>
        <v>4.5704349097472923</v>
      </c>
      <c r="T110" s="61">
        <f t="shared" si="39"/>
        <v>4.7227827400722013</v>
      </c>
      <c r="U110" s="61">
        <f t="shared" si="39"/>
        <v>3.7097528772563173</v>
      </c>
      <c r="V110" s="61">
        <f t="shared" si="39"/>
        <v>7.3688880866425999</v>
      </c>
      <c r="W110" s="61">
        <f t="shared" si="39"/>
        <v>7.3688880866425999</v>
      </c>
      <c r="X110" s="61">
        <f t="shared" si="39"/>
        <v>6.1341104512635392</v>
      </c>
      <c r="Y110" s="61">
        <f t="shared" si="39"/>
        <v>6.1341104512635392</v>
      </c>
    </row>
    <row r="111" spans="1:33" x14ac:dyDescent="0.25">
      <c r="A111" s="128" t="str">
        <f>A$16</f>
        <v>Brebis tardives + antenaises</v>
      </c>
      <c r="B111" s="61">
        <f t="shared" ref="B111:Y111" si="40">(B40*B$3*B100)/1000</f>
        <v>2.0766866425992774</v>
      </c>
      <c r="C111" s="61">
        <f t="shared" si="40"/>
        <v>1.8636931407942239</v>
      </c>
      <c r="D111" s="61">
        <f t="shared" si="40"/>
        <v>1.4909545126353787</v>
      </c>
      <c r="E111" s="61">
        <f t="shared" si="40"/>
        <v>1.2985732851985559</v>
      </c>
      <c r="F111" s="61">
        <f t="shared" si="40"/>
        <v>1.2247126353790614</v>
      </c>
      <c r="G111" s="61">
        <f t="shared" si="40"/>
        <v>1.0117191335740072</v>
      </c>
      <c r="H111" s="61">
        <f t="shared" si="40"/>
        <v>0.77296028880866419</v>
      </c>
      <c r="I111" s="61">
        <f t="shared" si="40"/>
        <v>0.541072202166065</v>
      </c>
      <c r="J111" s="61">
        <f t="shared" si="40"/>
        <v>0.31949025270758119</v>
      </c>
      <c r="K111" s="61">
        <f t="shared" si="40"/>
        <v>0</v>
      </c>
      <c r="L111" s="61">
        <f t="shared" si="40"/>
        <v>0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0</v>
      </c>
      <c r="T111" s="61">
        <f t="shared" si="40"/>
        <v>0</v>
      </c>
      <c r="U111" s="61">
        <f t="shared" si="40"/>
        <v>0</v>
      </c>
      <c r="V111" s="61">
        <f t="shared" si="40"/>
        <v>7.729602888086641E-2</v>
      </c>
      <c r="W111" s="61">
        <f t="shared" si="40"/>
        <v>7.729602888086641E-2</v>
      </c>
      <c r="X111" s="61">
        <f t="shared" si="40"/>
        <v>2.0766866425992774</v>
      </c>
      <c r="Y111" s="61">
        <f t="shared" si="40"/>
        <v>2.0766866425992774</v>
      </c>
    </row>
    <row r="112" spans="1:33" x14ac:dyDescent="0.25">
      <c r="A112" s="128" t="str">
        <f>A$17</f>
        <v>Brebis vides + agnelles</v>
      </c>
      <c r="B112" s="61">
        <f t="shared" ref="B112:Y112" si="41">(B41*B$3*B101)/1000</f>
        <v>0.66027985559566782</v>
      </c>
      <c r="C112" s="61">
        <f t="shared" si="41"/>
        <v>0.66027985559566782</v>
      </c>
      <c r="D112" s="61">
        <f t="shared" si="41"/>
        <v>0.59638180505415161</v>
      </c>
      <c r="E112" s="61">
        <f t="shared" si="41"/>
        <v>0.59638180505415161</v>
      </c>
      <c r="F112" s="61">
        <f t="shared" si="41"/>
        <v>1.0436681588447654</v>
      </c>
      <c r="G112" s="61">
        <f t="shared" si="41"/>
        <v>1.0436681588447654</v>
      </c>
      <c r="H112" s="61">
        <f t="shared" si="41"/>
        <v>1.0100014440433214</v>
      </c>
      <c r="I112" s="61">
        <f t="shared" si="41"/>
        <v>1.0100014440433214</v>
      </c>
      <c r="J112" s="61">
        <f t="shared" si="41"/>
        <v>1.0436681588447654</v>
      </c>
      <c r="K112" s="61">
        <f t="shared" si="41"/>
        <v>1.0436681588447654</v>
      </c>
      <c r="L112" s="61">
        <f t="shared" si="41"/>
        <v>0.64928664259927804</v>
      </c>
      <c r="M112" s="61">
        <f t="shared" si="41"/>
        <v>0.64928664259927804</v>
      </c>
      <c r="N112" s="61">
        <f t="shared" si="41"/>
        <v>1.4377061371841158</v>
      </c>
      <c r="O112" s="61">
        <f t="shared" si="41"/>
        <v>1.4377061371841158</v>
      </c>
      <c r="P112" s="61">
        <f t="shared" si="41"/>
        <v>1.4377061371841158</v>
      </c>
      <c r="Q112" s="61">
        <f t="shared" si="41"/>
        <v>1.4377061371841158</v>
      </c>
      <c r="R112" s="61">
        <f t="shared" si="41"/>
        <v>1.3913285198555956</v>
      </c>
      <c r="S112" s="61">
        <f t="shared" si="41"/>
        <v>1.3913285198555956</v>
      </c>
      <c r="T112" s="61">
        <f t="shared" si="41"/>
        <v>1.4377061371841158</v>
      </c>
      <c r="U112" s="61">
        <f t="shared" si="41"/>
        <v>1.4377061371841158</v>
      </c>
      <c r="V112" s="61">
        <f t="shared" si="41"/>
        <v>0.36071480144404322</v>
      </c>
      <c r="W112" s="61">
        <f t="shared" si="41"/>
        <v>0.36071480144404322</v>
      </c>
      <c r="X112" s="61">
        <f t="shared" si="41"/>
        <v>0.66027985559566782</v>
      </c>
      <c r="Y112" s="61">
        <f t="shared" si="41"/>
        <v>0.66027985559566782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0.1597451263537906</v>
      </c>
      <c r="C113" s="61">
        <f t="shared" si="42"/>
        <v>0.1597451263537906</v>
      </c>
      <c r="D113" s="61">
        <f t="shared" si="42"/>
        <v>0.14428592057761733</v>
      </c>
      <c r="E113" s="61">
        <f t="shared" si="42"/>
        <v>0.14428592057761733</v>
      </c>
      <c r="F113" s="61">
        <f t="shared" si="42"/>
        <v>0.1597451263537906</v>
      </c>
      <c r="G113" s="61">
        <f t="shared" si="42"/>
        <v>0.1597451263537906</v>
      </c>
      <c r="H113" s="61">
        <f t="shared" si="42"/>
        <v>0.15459205776173282</v>
      </c>
      <c r="I113" s="61">
        <f t="shared" si="42"/>
        <v>0.15459205776173282</v>
      </c>
      <c r="J113" s="61">
        <f t="shared" si="42"/>
        <v>0.1597451263537906</v>
      </c>
      <c r="K113" s="61">
        <f t="shared" si="42"/>
        <v>0.1597451263537906</v>
      </c>
      <c r="L113" s="61">
        <f t="shared" si="42"/>
        <v>0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0</v>
      </c>
      <c r="T113" s="61">
        <f t="shared" si="42"/>
        <v>0</v>
      </c>
      <c r="U113" s="61">
        <f t="shared" si="42"/>
        <v>0</v>
      </c>
      <c r="V113" s="61">
        <f t="shared" si="42"/>
        <v>0.15459205776173282</v>
      </c>
      <c r="W113" s="61">
        <f t="shared" si="42"/>
        <v>0.15459205776173282</v>
      </c>
      <c r="X113" s="61">
        <f t="shared" si="42"/>
        <v>0.1597451263537906</v>
      </c>
      <c r="Y113" s="61">
        <f t="shared" si="42"/>
        <v>0.1597451263537906</v>
      </c>
    </row>
    <row r="114" spans="1:53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201</v>
      </c>
      <c r="B120" s="61">
        <f>ROUNDUP(SUM(B110:B119),1)</f>
        <v>9.1</v>
      </c>
      <c r="C120" s="61">
        <f t="shared" ref="C120:Y120" si="49">SUM(C110:C119)</f>
        <v>9.0167726967509019</v>
      </c>
      <c r="D120" s="61">
        <f t="shared" si="49"/>
        <v>8.1314920288808654</v>
      </c>
      <c r="E120" s="61">
        <f t="shared" si="49"/>
        <v>7.699522180505415</v>
      </c>
      <c r="F120" s="61">
        <f t="shared" si="49"/>
        <v>8.8938099097472936</v>
      </c>
      <c r="G120" s="61">
        <f t="shared" si="49"/>
        <v>8.9129178844765349</v>
      </c>
      <c r="H120" s="61">
        <f t="shared" si="49"/>
        <v>8.6438959927797825</v>
      </c>
      <c r="I120" s="61">
        <f t="shared" si="49"/>
        <v>8.6687100000000008</v>
      </c>
      <c r="J120" s="61">
        <f t="shared" si="49"/>
        <v>8.9833081407942252</v>
      </c>
      <c r="K120" s="61">
        <f t="shared" si="49"/>
        <v>9.0285487797833941</v>
      </c>
      <c r="L120" s="61">
        <f t="shared" si="49"/>
        <v>5.479178555956679</v>
      </c>
      <c r="M120" s="61">
        <f t="shared" si="49"/>
        <v>5.479178555956679</v>
      </c>
      <c r="N120" s="61">
        <f t="shared" si="49"/>
        <v>6.4285944476534294</v>
      </c>
      <c r="O120" s="61">
        <f t="shared" si="49"/>
        <v>6.4285944476534294</v>
      </c>
      <c r="P120" s="61">
        <f t="shared" si="49"/>
        <v>6.4285944476534294</v>
      </c>
      <c r="Q120" s="61">
        <f t="shared" si="49"/>
        <v>6.4285944476534294</v>
      </c>
      <c r="R120" s="61">
        <f t="shared" si="49"/>
        <v>6.2212204332129968</v>
      </c>
      <c r="S120" s="61">
        <f t="shared" si="49"/>
        <v>5.9617634296028879</v>
      </c>
      <c r="T120" s="61">
        <f t="shared" si="49"/>
        <v>6.1604888772563173</v>
      </c>
      <c r="U120" s="61">
        <f t="shared" si="49"/>
        <v>5.1474590144404333</v>
      </c>
      <c r="V120" s="61">
        <f t="shared" si="49"/>
        <v>7.9614909747292426</v>
      </c>
      <c r="W120" s="61">
        <f t="shared" si="49"/>
        <v>7.9614909747292426</v>
      </c>
      <c r="X120" s="61">
        <f t="shared" si="49"/>
        <v>9.0308220758122744</v>
      </c>
      <c r="Y120" s="61">
        <f t="shared" si="49"/>
        <v>9.0308220758122744</v>
      </c>
      <c r="AA120" s="57">
        <f>SUM(B120:Y120)</f>
        <v>181.22727037184109</v>
      </c>
      <c r="AB120" t="s">
        <v>38</v>
      </c>
      <c r="AC120" t="s">
        <v>205</v>
      </c>
    </row>
    <row r="121" spans="1:53" x14ac:dyDescent="0.25">
      <c r="AA121">
        <f>AA49*4.75</f>
        <v>179.61361913357399</v>
      </c>
    </row>
    <row r="122" spans="1:53" x14ac:dyDescent="0.25">
      <c r="A122" s="2" t="s">
        <v>14</v>
      </c>
      <c r="B122" s="15" t="s">
        <v>204</v>
      </c>
    </row>
    <row r="123" spans="1:53" x14ac:dyDescent="0.25">
      <c r="A123" s="127" t="str">
        <f>A$15</f>
        <v>Brebis  lot princ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0.3</v>
      </c>
      <c r="I123" s="159">
        <v>0.5</v>
      </c>
      <c r="J123" s="159">
        <v>0.8</v>
      </c>
      <c r="K123" s="159">
        <v>0.8</v>
      </c>
      <c r="L123" s="159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159">
        <v>0.6</v>
      </c>
      <c r="T123" s="159">
        <v>0.5</v>
      </c>
      <c r="U123" s="159">
        <v>0.4</v>
      </c>
      <c r="V123" s="159">
        <v>0.3</v>
      </c>
      <c r="W123" s="159">
        <v>0.2</v>
      </c>
      <c r="X123" s="159">
        <v>0</v>
      </c>
      <c r="Y123" s="159">
        <v>0</v>
      </c>
      <c r="AD123">
        <v>0</v>
      </c>
      <c r="AE123" s="17">
        <v>0</v>
      </c>
      <c r="AF123">
        <v>0</v>
      </c>
      <c r="AG123">
        <v>0.5</v>
      </c>
      <c r="AH123">
        <v>0.5</v>
      </c>
      <c r="AI123">
        <v>0.5</v>
      </c>
      <c r="AJ123">
        <v>0.5</v>
      </c>
      <c r="AK123">
        <v>0.8</v>
      </c>
      <c r="AL123">
        <v>0.8</v>
      </c>
      <c r="AM123">
        <v>0.8</v>
      </c>
      <c r="AN123">
        <v>0.8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0.8</v>
      </c>
      <c r="AV123">
        <v>0.8</v>
      </c>
      <c r="AW123">
        <v>0.5</v>
      </c>
      <c r="AX123">
        <v>0.5</v>
      </c>
      <c r="AY123">
        <v>0.5</v>
      </c>
      <c r="AZ123">
        <v>0.5</v>
      </c>
      <c r="BA123">
        <v>0.5</v>
      </c>
    </row>
    <row r="124" spans="1:53" x14ac:dyDescent="0.25">
      <c r="A124" s="128" t="str">
        <f>A$16</f>
        <v>Brebis tardives + antenaises</v>
      </c>
      <c r="B124" s="60">
        <v>0</v>
      </c>
      <c r="C124" s="60">
        <v>0</v>
      </c>
      <c r="D124" s="60">
        <v>0.3</v>
      </c>
      <c r="E124" s="60">
        <v>0.3</v>
      </c>
      <c r="F124" s="60">
        <v>0.3</v>
      </c>
      <c r="G124" s="60">
        <v>0.3</v>
      </c>
      <c r="H124" s="60">
        <v>0.3</v>
      </c>
      <c r="I124" s="159">
        <v>0.5</v>
      </c>
      <c r="J124" s="159">
        <v>0.8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0.5</v>
      </c>
      <c r="AH124">
        <v>0.5</v>
      </c>
      <c r="AI124">
        <v>0.5</v>
      </c>
      <c r="AJ124">
        <v>0.5</v>
      </c>
      <c r="AK124">
        <v>0.8</v>
      </c>
      <c r="AL124">
        <v>0.8</v>
      </c>
    </row>
    <row r="125" spans="1:53" x14ac:dyDescent="0.25">
      <c r="A125" s="128" t="str">
        <f>A$17</f>
        <v>Brebis vides + agnelles</v>
      </c>
      <c r="B125" s="60">
        <v>0</v>
      </c>
      <c r="C125" s="60">
        <v>0</v>
      </c>
      <c r="D125" s="60">
        <v>0.3</v>
      </c>
      <c r="E125" s="60">
        <v>0.5</v>
      </c>
      <c r="F125" s="60">
        <v>0.5</v>
      </c>
      <c r="G125" s="60">
        <v>0.5</v>
      </c>
      <c r="H125" s="60">
        <v>0.5</v>
      </c>
      <c r="I125" s="159">
        <v>0.8</v>
      </c>
      <c r="J125" s="159">
        <v>0.8</v>
      </c>
      <c r="K125" s="159">
        <v>0.8</v>
      </c>
      <c r="L125" s="159">
        <v>0.8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159">
        <v>0.6</v>
      </c>
      <c r="T125" s="159">
        <v>0.5</v>
      </c>
      <c r="U125" s="159">
        <v>0.4</v>
      </c>
      <c r="V125" s="159">
        <v>0.3</v>
      </c>
      <c r="W125" s="159">
        <v>0.2</v>
      </c>
      <c r="X125" s="159">
        <v>0.2</v>
      </c>
      <c r="Y125" s="159">
        <v>0</v>
      </c>
      <c r="AD125">
        <v>0</v>
      </c>
      <c r="AE125" s="17">
        <v>0</v>
      </c>
      <c r="AF125">
        <v>0</v>
      </c>
      <c r="AG125">
        <v>0.5</v>
      </c>
      <c r="AH125">
        <v>0.5</v>
      </c>
      <c r="AI125">
        <v>0.5</v>
      </c>
      <c r="AJ125">
        <v>0.5</v>
      </c>
      <c r="AK125">
        <v>0.7</v>
      </c>
      <c r="AL125">
        <v>0.7</v>
      </c>
      <c r="AM125">
        <v>0.7</v>
      </c>
      <c r="AN125">
        <v>0.7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0.8</v>
      </c>
      <c r="AV125">
        <v>0.8</v>
      </c>
      <c r="AW125">
        <v>0.5</v>
      </c>
      <c r="AX125">
        <v>0.5</v>
      </c>
      <c r="AY125">
        <v>0.5</v>
      </c>
      <c r="AZ125">
        <v>0.5</v>
      </c>
      <c r="BA125">
        <v>0.5</v>
      </c>
    </row>
    <row r="126" spans="1:53" x14ac:dyDescent="0.25">
      <c r="A126" s="127" t="str">
        <f>A$18</f>
        <v>Béliers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0.5</v>
      </c>
      <c r="H126" s="60">
        <v>0.5</v>
      </c>
      <c r="I126" s="60">
        <v>0.5</v>
      </c>
      <c r="J126" s="60">
        <v>0.5</v>
      </c>
      <c r="K126" s="60">
        <v>0.5</v>
      </c>
      <c r="L126" s="60">
        <v>0.5</v>
      </c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0</v>
      </c>
      <c r="W126" s="60">
        <v>0</v>
      </c>
      <c r="X126" s="60">
        <v>0</v>
      </c>
      <c r="Y126" s="60">
        <v>0</v>
      </c>
      <c r="AD126">
        <v>0</v>
      </c>
      <c r="AE126" s="17">
        <v>0</v>
      </c>
      <c r="AF126">
        <v>0</v>
      </c>
      <c r="AG126">
        <v>0</v>
      </c>
      <c r="AH126">
        <v>0</v>
      </c>
      <c r="AI126">
        <v>0.5</v>
      </c>
      <c r="AJ126">
        <v>0.5</v>
      </c>
      <c r="AK126">
        <v>0.5</v>
      </c>
      <c r="AL126">
        <v>0.5</v>
      </c>
      <c r="AM126">
        <v>0.5</v>
      </c>
      <c r="AN126">
        <v>0.5</v>
      </c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 lot princ</v>
      </c>
      <c r="B136" s="61">
        <f>B110*(1-B123)</f>
        <v>6.1341104512635392</v>
      </c>
      <c r="C136" s="61">
        <f t="shared" ref="C136:Y136" si="50">C110*(1-C123)</f>
        <v>6.3330545740072202</v>
      </c>
      <c r="D136" s="61">
        <f t="shared" si="50"/>
        <v>5.8998697906137183</v>
      </c>
      <c r="E136" s="61">
        <f t="shared" si="50"/>
        <v>3.9621968187725631</v>
      </c>
      <c r="F136" s="61">
        <f t="shared" si="50"/>
        <v>4.5259787924187727</v>
      </c>
      <c r="G136" s="61">
        <f t="shared" si="50"/>
        <v>4.6884498259927803</v>
      </c>
      <c r="H136" s="61">
        <f t="shared" si="50"/>
        <v>4.6944395415162452</v>
      </c>
      <c r="I136" s="61">
        <f t="shared" si="50"/>
        <v>3.4815221480144407</v>
      </c>
      <c r="J136" s="61">
        <f t="shared" si="50"/>
        <v>1.4920809205776171</v>
      </c>
      <c r="K136" s="61">
        <f t="shared" si="50"/>
        <v>1.5650270989169672</v>
      </c>
      <c r="L136" s="61">
        <f t="shared" si="50"/>
        <v>0.96597838267148006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1.828173963898917</v>
      </c>
      <c r="T136" s="61">
        <f t="shared" si="50"/>
        <v>2.3613913700361007</v>
      </c>
      <c r="U136" s="61">
        <f t="shared" si="50"/>
        <v>2.2258517263537905</v>
      </c>
      <c r="V136" s="61">
        <f t="shared" si="50"/>
        <v>5.1582216606498195</v>
      </c>
      <c r="W136" s="61">
        <f t="shared" si="50"/>
        <v>5.8951104693140799</v>
      </c>
      <c r="X136" s="61">
        <f t="shared" si="50"/>
        <v>6.1341104512635392</v>
      </c>
      <c r="Y136" s="61">
        <f t="shared" si="50"/>
        <v>6.1341104512635392</v>
      </c>
      <c r="AA136" s="61">
        <f>SUM(B136:Y136)</f>
        <v>73.479678437545132</v>
      </c>
    </row>
    <row r="137" spans="1:31" x14ac:dyDescent="0.25">
      <c r="A137" s="128" t="str">
        <f>A$16</f>
        <v>Brebis tardives + antenaises</v>
      </c>
      <c r="B137" s="61">
        <f t="shared" ref="B137:Y144" si="51">B111*(1-B124)</f>
        <v>2.0766866425992774</v>
      </c>
      <c r="C137" s="61">
        <f t="shared" si="51"/>
        <v>1.8636931407942239</v>
      </c>
      <c r="D137" s="61">
        <f t="shared" si="51"/>
        <v>1.0436681588447649</v>
      </c>
      <c r="E137" s="61">
        <f t="shared" si="51"/>
        <v>0.90900129963898901</v>
      </c>
      <c r="F137" s="61">
        <f t="shared" si="51"/>
        <v>0.8572988447653429</v>
      </c>
      <c r="G137" s="61">
        <f t="shared" si="51"/>
        <v>0.70820339350180506</v>
      </c>
      <c r="H137" s="61">
        <f t="shared" si="51"/>
        <v>0.54107220216606489</v>
      </c>
      <c r="I137" s="61">
        <f t="shared" si="51"/>
        <v>0.2705361010830325</v>
      </c>
      <c r="J137" s="61">
        <f t="shared" si="51"/>
        <v>6.3898050541516219E-2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7.729602888086641E-2</v>
      </c>
      <c r="W137" s="61">
        <f t="shared" si="51"/>
        <v>7.729602888086641E-2</v>
      </c>
      <c r="X137" s="61">
        <f t="shared" si="51"/>
        <v>2.0766866425992774</v>
      </c>
      <c r="Y137" s="61">
        <f t="shared" si="51"/>
        <v>2.0766866425992774</v>
      </c>
      <c r="AA137" s="61">
        <f>SUM(B137:Y137)</f>
        <v>12.642023176895306</v>
      </c>
    </row>
    <row r="138" spans="1:31" x14ac:dyDescent="0.25">
      <c r="A138" s="128" t="str">
        <f>A$17</f>
        <v>Brebis vides + agnelles</v>
      </c>
      <c r="B138" s="61">
        <f t="shared" si="51"/>
        <v>0.66027985559566782</v>
      </c>
      <c r="C138" s="61">
        <f t="shared" si="51"/>
        <v>0.66027985559566782</v>
      </c>
      <c r="D138" s="61">
        <f t="shared" si="51"/>
        <v>0.41746726353790609</v>
      </c>
      <c r="E138" s="61">
        <f t="shared" si="51"/>
        <v>0.29819090252707581</v>
      </c>
      <c r="F138" s="61">
        <f t="shared" si="51"/>
        <v>0.52183407942238269</v>
      </c>
      <c r="G138" s="61">
        <f t="shared" si="51"/>
        <v>0.52183407942238269</v>
      </c>
      <c r="H138" s="61">
        <f t="shared" si="51"/>
        <v>0.50500072202166069</v>
      </c>
      <c r="I138" s="61">
        <f t="shared" si="51"/>
        <v>0.20200028880866422</v>
      </c>
      <c r="J138" s="61">
        <f t="shared" si="51"/>
        <v>0.20873363176895304</v>
      </c>
      <c r="K138" s="61">
        <f t="shared" si="51"/>
        <v>0.20873363176895304</v>
      </c>
      <c r="L138" s="61">
        <f t="shared" si="51"/>
        <v>0.12985732851985557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0.55653140794223821</v>
      </c>
      <c r="T138" s="61">
        <f t="shared" si="51"/>
        <v>0.71885306859205789</v>
      </c>
      <c r="U138" s="61">
        <f t="shared" si="51"/>
        <v>0.86262368231046949</v>
      </c>
      <c r="V138" s="61">
        <f t="shared" si="51"/>
        <v>0.25250036101083023</v>
      </c>
      <c r="W138" s="61">
        <f t="shared" si="51"/>
        <v>0.2885718411552346</v>
      </c>
      <c r="X138" s="61">
        <f t="shared" si="51"/>
        <v>0.52822388447653423</v>
      </c>
      <c r="Y138" s="61">
        <f t="shared" si="51"/>
        <v>0.66027985559566782</v>
      </c>
      <c r="AA138" s="61">
        <f t="shared" ref="AA138:AA144" si="52">SUM(B138:Y138)</f>
        <v>8.2017957400722015</v>
      </c>
    </row>
    <row r="139" spans="1:31" x14ac:dyDescent="0.25">
      <c r="A139" s="127" t="str">
        <f>A$18</f>
        <v>Béliers</v>
      </c>
      <c r="B139" s="61">
        <f t="shared" si="51"/>
        <v>0.1597451263537906</v>
      </c>
      <c r="C139" s="61">
        <f t="shared" si="51"/>
        <v>0.1597451263537906</v>
      </c>
      <c r="D139" s="61">
        <f t="shared" si="51"/>
        <v>0.14428592057761733</v>
      </c>
      <c r="E139" s="61">
        <f t="shared" si="51"/>
        <v>0.14428592057761733</v>
      </c>
      <c r="F139" s="61">
        <f t="shared" si="51"/>
        <v>0.1597451263537906</v>
      </c>
      <c r="G139" s="61">
        <f t="shared" si="51"/>
        <v>7.9872563176895298E-2</v>
      </c>
      <c r="H139" s="61">
        <f t="shared" si="51"/>
        <v>7.729602888086641E-2</v>
      </c>
      <c r="I139" s="61">
        <f t="shared" si="51"/>
        <v>7.729602888086641E-2</v>
      </c>
      <c r="J139" s="61">
        <f t="shared" si="51"/>
        <v>7.9872563176895298E-2</v>
      </c>
      <c r="K139" s="61">
        <f t="shared" si="51"/>
        <v>7.9872563176895298E-2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0.15459205776173282</v>
      </c>
      <c r="W139" s="61">
        <f t="shared" si="51"/>
        <v>0.15459205776173282</v>
      </c>
      <c r="X139" s="61">
        <f t="shared" si="51"/>
        <v>0.1597451263537906</v>
      </c>
      <c r="Y139" s="61">
        <f t="shared" si="51"/>
        <v>0.1597451263537906</v>
      </c>
      <c r="AA139" s="61">
        <f t="shared" si="52"/>
        <v>1.7906913357400718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96.114188690252718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110.53131699379061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 lot princ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1.6980843509025272</v>
      </c>
      <c r="F149" s="61">
        <f t="shared" si="54"/>
        <v>1.9397051967509036</v>
      </c>
      <c r="G149" s="61">
        <f t="shared" si="54"/>
        <v>2.0093356397111917</v>
      </c>
      <c r="H149" s="61">
        <f t="shared" si="54"/>
        <v>2.0119026606498194</v>
      </c>
      <c r="I149" s="61">
        <f t="shared" si="54"/>
        <v>3.4815221480144407</v>
      </c>
      <c r="J149" s="61">
        <f t="shared" si="54"/>
        <v>5.9683236823104702</v>
      </c>
      <c r="K149" s="61">
        <f t="shared" si="54"/>
        <v>6.2601083956678707</v>
      </c>
      <c r="L149" s="61">
        <f t="shared" si="54"/>
        <v>3.8639135306859211</v>
      </c>
      <c r="M149" s="61">
        <f t="shared" si="54"/>
        <v>4.8298919133574012</v>
      </c>
      <c r="N149" s="61">
        <f t="shared" si="54"/>
        <v>4.9908883104693134</v>
      </c>
      <c r="O149" s="61">
        <f t="shared" si="54"/>
        <v>4.9908883104693134</v>
      </c>
      <c r="P149" s="61">
        <f t="shared" si="54"/>
        <v>4.9908883104693134</v>
      </c>
      <c r="Q149" s="61">
        <f t="shared" si="54"/>
        <v>4.9908883104693134</v>
      </c>
      <c r="R149" s="61">
        <f t="shared" si="54"/>
        <v>4.8298919133574012</v>
      </c>
      <c r="S149" s="61">
        <f t="shared" si="54"/>
        <v>2.7422609458483755</v>
      </c>
      <c r="T149" s="61">
        <f t="shared" si="54"/>
        <v>2.3613913700361007</v>
      </c>
      <c r="U149" s="61">
        <f t="shared" si="54"/>
        <v>1.4839011509025268</v>
      </c>
      <c r="V149" s="61">
        <f t="shared" si="54"/>
        <v>2.2106664259927804</v>
      </c>
      <c r="W149" s="61">
        <f t="shared" si="54"/>
        <v>1.47377761732852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Brebis tardives + antenaises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0.44728635379061377</v>
      </c>
      <c r="E150" s="61">
        <f t="shared" si="55"/>
        <v>0.38957198555956685</v>
      </c>
      <c r="F150" s="61">
        <f t="shared" si="55"/>
        <v>0.36741379061371848</v>
      </c>
      <c r="G150" s="61">
        <f t="shared" si="55"/>
        <v>0.30351574007220217</v>
      </c>
      <c r="H150" s="61">
        <f t="shared" si="55"/>
        <v>0.2318880866425993</v>
      </c>
      <c r="I150" s="61">
        <f t="shared" si="55"/>
        <v>0.2705361010830325</v>
      </c>
      <c r="J150" s="61">
        <f t="shared" si="55"/>
        <v>0.25559220216606499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Brebis vides + 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0.17891454151624553</v>
      </c>
      <c r="E151" s="61">
        <f t="shared" si="56"/>
        <v>0.29819090252707581</v>
      </c>
      <c r="F151" s="61">
        <f t="shared" si="56"/>
        <v>0.52183407942238269</v>
      </c>
      <c r="G151" s="61">
        <f t="shared" si="56"/>
        <v>0.52183407942238269</v>
      </c>
      <c r="H151" s="61">
        <f t="shared" si="56"/>
        <v>0.50500072202166069</v>
      </c>
      <c r="I151" s="61">
        <f t="shared" si="56"/>
        <v>0.8080011552346571</v>
      </c>
      <c r="J151" s="61">
        <f t="shared" si="56"/>
        <v>0.83493452707581239</v>
      </c>
      <c r="K151" s="61">
        <f t="shared" si="56"/>
        <v>0.83493452707581239</v>
      </c>
      <c r="L151" s="61">
        <f t="shared" si="56"/>
        <v>0.5194293140794225</v>
      </c>
      <c r="M151" s="61">
        <f t="shared" si="56"/>
        <v>0.64928664259927804</v>
      </c>
      <c r="N151" s="61">
        <f t="shared" si="56"/>
        <v>1.4377061371841158</v>
      </c>
      <c r="O151" s="61">
        <f t="shared" si="56"/>
        <v>1.4377061371841158</v>
      </c>
      <c r="P151" s="61">
        <f t="shared" si="56"/>
        <v>1.4377061371841158</v>
      </c>
      <c r="Q151" s="61">
        <f t="shared" si="56"/>
        <v>1.4377061371841158</v>
      </c>
      <c r="R151" s="61">
        <f t="shared" si="56"/>
        <v>1.3913285198555956</v>
      </c>
      <c r="S151" s="61">
        <f t="shared" si="56"/>
        <v>0.83479711191335737</v>
      </c>
      <c r="T151" s="61">
        <f t="shared" si="56"/>
        <v>0.71885306859205789</v>
      </c>
      <c r="U151" s="61">
        <f t="shared" si="56"/>
        <v>0.57508245487364629</v>
      </c>
      <c r="V151" s="61">
        <f t="shared" si="56"/>
        <v>0.10821444043321299</v>
      </c>
      <c r="W151" s="61">
        <f t="shared" si="56"/>
        <v>7.2142960288808622E-2</v>
      </c>
      <c r="X151" s="61">
        <f t="shared" si="56"/>
        <v>0.13205597111913359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7.9872563176895298E-2</v>
      </c>
      <c r="H152" s="61">
        <f t="shared" si="57"/>
        <v>7.729602888086641E-2</v>
      </c>
      <c r="I152" s="61">
        <f t="shared" si="57"/>
        <v>7.729602888086641E-2</v>
      </c>
      <c r="J152" s="61">
        <f t="shared" si="57"/>
        <v>7.9872563176895298E-2</v>
      </c>
      <c r="K152" s="61">
        <f t="shared" si="57"/>
        <v>7.9872563176895298E-2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85.043903757400798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 lot princ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1.6980843509025272</v>
      </c>
      <c r="F162" s="61">
        <f t="shared" si="64"/>
        <v>1.9397051967509036</v>
      </c>
      <c r="G162" s="61">
        <f t="shared" si="64"/>
        <v>2.0093356397111917</v>
      </c>
      <c r="H162" s="61">
        <f t="shared" si="64"/>
        <v>2.0119026606498194</v>
      </c>
      <c r="I162" s="61">
        <f t="shared" si="64"/>
        <v>3.4815221480144407</v>
      </c>
      <c r="J162" s="61">
        <f t="shared" si="64"/>
        <v>5.9683236823104702</v>
      </c>
      <c r="K162" s="61">
        <f t="shared" si="64"/>
        <v>6.2601083956678707</v>
      </c>
      <c r="L162" s="61">
        <f t="shared" si="64"/>
        <v>3.8639135306859211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2.7422609458483755</v>
      </c>
      <c r="T162" s="61">
        <f t="shared" si="64"/>
        <v>2.3613913700361007</v>
      </c>
      <c r="U162" s="61">
        <f t="shared" si="64"/>
        <v>1.4839011509025268</v>
      </c>
      <c r="V162" s="61">
        <f t="shared" si="64"/>
        <v>2.2106664259927804</v>
      </c>
      <c r="W162" s="61">
        <f t="shared" si="64"/>
        <v>1.47377761732852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Brebis tardives + antenaises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0.44728635379061377</v>
      </c>
      <c r="E163" s="61">
        <f t="shared" si="65"/>
        <v>0.38957198555956685</v>
      </c>
      <c r="F163" s="61">
        <f t="shared" si="65"/>
        <v>0.36741379061371848</v>
      </c>
      <c r="G163" s="61">
        <f t="shared" si="65"/>
        <v>0.30351574007220217</v>
      </c>
      <c r="H163" s="61">
        <f t="shared" si="65"/>
        <v>0.2318880866425993</v>
      </c>
      <c r="I163" s="61">
        <f t="shared" si="65"/>
        <v>0.2705361010830325</v>
      </c>
      <c r="J163" s="61">
        <f t="shared" si="65"/>
        <v>0.25559220216606499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Brebis vides + 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0.17891454151624553</v>
      </c>
      <c r="E164" s="61">
        <f t="shared" si="66"/>
        <v>0.29819090252707581</v>
      </c>
      <c r="F164" s="61">
        <f t="shared" si="66"/>
        <v>0.52183407942238269</v>
      </c>
      <c r="G164" s="61">
        <f t="shared" si="66"/>
        <v>0.52183407942238269</v>
      </c>
      <c r="H164" s="61">
        <f t="shared" si="66"/>
        <v>0.50500072202166069</v>
      </c>
      <c r="I164" s="61">
        <f t="shared" si="66"/>
        <v>0.8080011552346571</v>
      </c>
      <c r="J164" s="61">
        <f t="shared" si="66"/>
        <v>0.83493452707581239</v>
      </c>
      <c r="K164" s="61">
        <f t="shared" si="66"/>
        <v>0.83493452707581239</v>
      </c>
      <c r="L164" s="61">
        <f t="shared" si="66"/>
        <v>0.5194293140794225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1.4377061371841158</v>
      </c>
      <c r="R164" s="61">
        <f t="shared" si="66"/>
        <v>1.3913285198555956</v>
      </c>
      <c r="S164" s="61">
        <f t="shared" si="66"/>
        <v>0.83479711191335737</v>
      </c>
      <c r="T164" s="61">
        <f t="shared" si="66"/>
        <v>0.71885306859205789</v>
      </c>
      <c r="U164" s="61">
        <f t="shared" si="66"/>
        <v>0.57508245487364629</v>
      </c>
      <c r="V164" s="61">
        <f t="shared" si="66"/>
        <v>0.10821444043321299</v>
      </c>
      <c r="W164" s="61">
        <f t="shared" si="66"/>
        <v>7.2142960288808622E-2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7.9872563176895298E-2</v>
      </c>
      <c r="H165" s="61">
        <f t="shared" si="67"/>
        <v>7.729602888086641E-2</v>
      </c>
      <c r="I165" s="61">
        <f t="shared" si="67"/>
        <v>7.729602888086641E-2</v>
      </c>
      <c r="J165" s="61">
        <f t="shared" si="67"/>
        <v>7.9872563176895298E-2</v>
      </c>
      <c r="K165" s="61">
        <f t="shared" si="67"/>
        <v>7.9872563176895298E-2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0.6262008953068593</v>
      </c>
      <c r="E172" s="61">
        <f t="shared" si="74"/>
        <v>2.3858472389891698</v>
      </c>
      <c r="F172" s="61">
        <f t="shared" si="74"/>
        <v>2.8289530667870046</v>
      </c>
      <c r="G172" s="61">
        <f t="shared" si="74"/>
        <v>2.9145580223826717</v>
      </c>
      <c r="H172" s="61">
        <f t="shared" si="74"/>
        <v>2.826087498194946</v>
      </c>
      <c r="I172" s="61">
        <f t="shared" si="74"/>
        <v>4.6373554332129965</v>
      </c>
      <c r="J172" s="61">
        <f t="shared" si="74"/>
        <v>7.1387229747292427</v>
      </c>
      <c r="K172" s="61">
        <f t="shared" si="74"/>
        <v>7.1749154859205788</v>
      </c>
      <c r="L172" s="61">
        <f t="shared" si="74"/>
        <v>4.3833428447653437</v>
      </c>
      <c r="M172" s="61">
        <f t="shared" si="74"/>
        <v>0</v>
      </c>
      <c r="N172" s="61">
        <f t="shared" si="74"/>
        <v>0</v>
      </c>
      <c r="O172" s="61">
        <f t="shared" si="74"/>
        <v>0</v>
      </c>
      <c r="P172" s="61">
        <f t="shared" si="74"/>
        <v>0</v>
      </c>
      <c r="Q172" s="61">
        <f t="shared" si="74"/>
        <v>1.4377061371841158</v>
      </c>
      <c r="R172" s="61">
        <f t="shared" si="74"/>
        <v>1.3913285198555956</v>
      </c>
      <c r="S172" s="61">
        <f t="shared" si="74"/>
        <v>3.5770580577617328</v>
      </c>
      <c r="T172" s="61">
        <f t="shared" si="74"/>
        <v>3.0802444386281587</v>
      </c>
      <c r="U172" s="61">
        <f t="shared" si="74"/>
        <v>2.0589836057761732</v>
      </c>
      <c r="V172" s="61">
        <f t="shared" si="74"/>
        <v>2.3188808664259932</v>
      </c>
      <c r="W172" s="61">
        <f t="shared" si="74"/>
        <v>1.5459205776173286</v>
      </c>
      <c r="X172" s="61">
        <f t="shared" si="74"/>
        <v>0</v>
      </c>
      <c r="Y172" s="61">
        <f t="shared" si="74"/>
        <v>0</v>
      </c>
      <c r="AA172" s="64">
        <f>SUM(B172:Y172)</f>
        <v>50.326105663537909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 lot princ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Brebis tardives + antenaises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Brebis vides + 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 lot princ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Brebis tardives + antenaises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Brebis vides + 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 lot princ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4.8298919133574012</v>
      </c>
      <c r="N201" s="61">
        <f t="shared" si="96"/>
        <v>4.9908883104693134</v>
      </c>
      <c r="O201" s="61">
        <f t="shared" si="96"/>
        <v>4.9908883104693134</v>
      </c>
      <c r="P201" s="61">
        <f t="shared" si="96"/>
        <v>4.9908883104693134</v>
      </c>
      <c r="Q201" s="61">
        <f t="shared" si="96"/>
        <v>4.9908883104693134</v>
      </c>
      <c r="R201" s="61">
        <f t="shared" si="96"/>
        <v>4.8298919133574012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Brebis tardives + antenaises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Brebis vides + 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0.64928664259927804</v>
      </c>
      <c r="N203" s="61">
        <f t="shared" si="98"/>
        <v>1.4377061371841158</v>
      </c>
      <c r="O203" s="61">
        <f t="shared" si="98"/>
        <v>1.4377061371841158</v>
      </c>
      <c r="P203" s="61">
        <f t="shared" si="98"/>
        <v>1.4377061371841158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lot5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5.479178555956679</v>
      </c>
      <c r="N211" s="61">
        <f t="shared" si="106"/>
        <v>6.4285944476534294</v>
      </c>
      <c r="O211" s="61">
        <f t="shared" si="106"/>
        <v>6.4285944476534294</v>
      </c>
      <c r="P211" s="61">
        <f t="shared" si="106"/>
        <v>6.4285944476534294</v>
      </c>
      <c r="Q211" s="61">
        <f t="shared" si="106"/>
        <v>4.9908883104693134</v>
      </c>
      <c r="R211" s="61">
        <f t="shared" si="106"/>
        <v>4.8298919133574012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34.585742122743682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7">C172</f>
        <v>0</v>
      </c>
      <c r="D215" s="61">
        <f t="shared" si="107"/>
        <v>0.6262008953068593</v>
      </c>
      <c r="E215" s="61">
        <f t="shared" si="107"/>
        <v>2.3858472389891698</v>
      </c>
      <c r="F215" s="61">
        <f t="shared" si="107"/>
        <v>2.8289530667870046</v>
      </c>
      <c r="G215" s="61">
        <f t="shared" si="107"/>
        <v>2.9145580223826717</v>
      </c>
      <c r="H215" s="61">
        <f t="shared" si="107"/>
        <v>2.826087498194946</v>
      </c>
      <c r="I215" s="61">
        <f t="shared" si="107"/>
        <v>4.6373554332129965</v>
      </c>
      <c r="J215" s="61">
        <f t="shared" si="107"/>
        <v>7.1387229747292427</v>
      </c>
      <c r="K215" s="61">
        <f t="shared" si="107"/>
        <v>7.1749154859205788</v>
      </c>
      <c r="L215" s="61">
        <f t="shared" si="107"/>
        <v>4.3833428447653437</v>
      </c>
      <c r="M215" s="61">
        <f t="shared" si="107"/>
        <v>0</v>
      </c>
      <c r="N215" s="61">
        <f t="shared" si="107"/>
        <v>0</v>
      </c>
      <c r="O215" s="61">
        <f t="shared" si="107"/>
        <v>0</v>
      </c>
      <c r="P215" s="61">
        <f t="shared" si="107"/>
        <v>0</v>
      </c>
      <c r="Q215" s="61">
        <f t="shared" si="107"/>
        <v>1.4377061371841158</v>
      </c>
      <c r="R215" s="61">
        <f t="shared" si="107"/>
        <v>1.3913285198555956</v>
      </c>
      <c r="S215" s="61">
        <f t="shared" si="107"/>
        <v>3.5770580577617328</v>
      </c>
      <c r="T215" s="61">
        <f t="shared" si="107"/>
        <v>3.0802444386281587</v>
      </c>
      <c r="U215" s="61">
        <f t="shared" si="107"/>
        <v>2.0589836057761732</v>
      </c>
      <c r="V215" s="61">
        <f t="shared" si="107"/>
        <v>2.3188808664259932</v>
      </c>
      <c r="W215" s="61">
        <f t="shared" si="107"/>
        <v>1.5459205776173286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8">C185</f>
        <v>0</v>
      </c>
      <c r="D216" s="61">
        <f t="shared" si="108"/>
        <v>0</v>
      </c>
      <c r="E216" s="61">
        <f t="shared" si="108"/>
        <v>0</v>
      </c>
      <c r="F216" s="61">
        <f t="shared" si="108"/>
        <v>0</v>
      </c>
      <c r="G216" s="61">
        <f t="shared" si="108"/>
        <v>0</v>
      </c>
      <c r="H216" s="61">
        <f t="shared" si="108"/>
        <v>0</v>
      </c>
      <c r="I216" s="61">
        <f t="shared" si="108"/>
        <v>0</v>
      </c>
      <c r="J216" s="61">
        <f t="shared" si="108"/>
        <v>0</v>
      </c>
      <c r="K216" s="61">
        <f t="shared" si="108"/>
        <v>0</v>
      </c>
      <c r="L216" s="61">
        <f t="shared" si="108"/>
        <v>0</v>
      </c>
      <c r="M216" s="61">
        <f t="shared" si="108"/>
        <v>0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0</v>
      </c>
      <c r="L217" s="61">
        <f t="shared" si="109"/>
        <v>0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0</v>
      </c>
      <c r="T217" s="61">
        <f t="shared" si="109"/>
        <v>0</v>
      </c>
      <c r="U217" s="61">
        <f t="shared" si="109"/>
        <v>0</v>
      </c>
      <c r="V217" s="61">
        <f t="shared" si="109"/>
        <v>0</v>
      </c>
      <c r="W217" s="61">
        <f t="shared" si="109"/>
        <v>0</v>
      </c>
      <c r="X217" s="61">
        <f t="shared" si="109"/>
        <v>0</v>
      </c>
      <c r="Y217" s="61">
        <f t="shared" si="109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5.479178555956679</v>
      </c>
      <c r="N218" s="61">
        <f t="shared" si="110"/>
        <v>6.4285944476534294</v>
      </c>
      <c r="O218" s="61">
        <f t="shared" si="110"/>
        <v>6.4285944476534294</v>
      </c>
      <c r="P218" s="61">
        <f t="shared" si="110"/>
        <v>6.4285944476534294</v>
      </c>
      <c r="Q218" s="61">
        <f t="shared" si="110"/>
        <v>4.9908883104693134</v>
      </c>
      <c r="R218" s="61">
        <f t="shared" si="110"/>
        <v>4.8298919133574012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84.911847786281584</v>
      </c>
      <c r="AB219" t="s">
        <v>221</v>
      </c>
    </row>
    <row r="220" spans="1:28" x14ac:dyDescent="0.25">
      <c r="AA220" s="30">
        <f>SUM(B215:Y217)</f>
        <v>50.326105663537909</v>
      </c>
      <c r="AB220" t="s">
        <v>222</v>
      </c>
    </row>
    <row r="221" spans="1:28" x14ac:dyDescent="0.25">
      <c r="AA221" s="30">
        <f>SUM(B218:Y218)</f>
        <v>34.585742122743682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S18" sqref="S18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0" x14ac:dyDescent="0.25">
      <c r="A1" t="s">
        <v>442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0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J2" s="50" t="s">
        <v>444</v>
      </c>
      <c r="AK2" s="60">
        <v>20</v>
      </c>
      <c r="AL2" s="60">
        <v>21</v>
      </c>
      <c r="AM2" s="60">
        <v>20</v>
      </c>
      <c r="AN2" s="60">
        <v>19</v>
      </c>
      <c r="AO2" s="60">
        <v>16</v>
      </c>
      <c r="AP2" s="60">
        <v>13</v>
      </c>
      <c r="AQ2" s="60">
        <v>10</v>
      </c>
      <c r="AR2" s="60">
        <v>8</v>
      </c>
      <c r="AS2" s="60">
        <v>7</v>
      </c>
      <c r="AT2" s="60">
        <v>5</v>
      </c>
      <c r="AU2" s="60">
        <v>3</v>
      </c>
      <c r="AV2" s="60">
        <v>2</v>
      </c>
      <c r="AW2" s="60">
        <v>1</v>
      </c>
      <c r="AX2" s="60">
        <v>0</v>
      </c>
      <c r="AY2" s="60">
        <v>0</v>
      </c>
      <c r="AZ2" s="60">
        <v>0</v>
      </c>
      <c r="BA2" s="60">
        <v>1</v>
      </c>
      <c r="BB2" s="60">
        <v>3</v>
      </c>
      <c r="BC2" s="60">
        <v>6</v>
      </c>
      <c r="BD2" s="60">
        <v>9</v>
      </c>
      <c r="BE2" s="60">
        <v>12</v>
      </c>
      <c r="BF2" s="60">
        <v>15</v>
      </c>
      <c r="BG2" s="60">
        <v>17</v>
      </c>
      <c r="BH2" s="60">
        <v>18</v>
      </c>
    </row>
    <row r="3" spans="1:60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J3" s="50" t="s">
        <v>445</v>
      </c>
      <c r="AK3" s="60">
        <v>17</v>
      </c>
      <c r="AL3" s="60">
        <v>16</v>
      </c>
      <c r="AM3" s="60">
        <v>17</v>
      </c>
      <c r="AN3" s="60">
        <v>19</v>
      </c>
      <c r="AO3" s="60">
        <v>23</v>
      </c>
      <c r="AP3" s="60">
        <v>28</v>
      </c>
      <c r="AQ3" s="60">
        <v>32</v>
      </c>
      <c r="AR3" s="60">
        <v>23</v>
      </c>
      <c r="AS3" s="60">
        <v>23</v>
      </c>
      <c r="AT3" s="60">
        <v>13</v>
      </c>
      <c r="AU3" s="60">
        <v>12</v>
      </c>
      <c r="AV3" s="60">
        <v>6</v>
      </c>
      <c r="AW3" s="60">
        <v>6</v>
      </c>
      <c r="AX3" s="60">
        <v>12</v>
      </c>
      <c r="AY3" s="60">
        <v>12</v>
      </c>
      <c r="AZ3" s="60">
        <v>12</v>
      </c>
      <c r="BA3" s="60">
        <v>15</v>
      </c>
      <c r="BB3" s="60">
        <v>14</v>
      </c>
      <c r="BC3" s="60">
        <v>33</v>
      </c>
      <c r="BD3" s="60">
        <v>30</v>
      </c>
      <c r="BE3" s="60">
        <v>26</v>
      </c>
      <c r="BF3" s="60">
        <v>23</v>
      </c>
      <c r="BG3" s="60">
        <v>21</v>
      </c>
      <c r="BH3" s="60">
        <v>19</v>
      </c>
    </row>
    <row r="4" spans="1:60" x14ac:dyDescent="0.25">
      <c r="A4" s="2" t="s">
        <v>325</v>
      </c>
      <c r="AC4" t="s">
        <v>180</v>
      </c>
      <c r="AF4" s="45">
        <v>0</v>
      </c>
      <c r="AJ4" s="50" t="s">
        <v>446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0">
        <v>0</v>
      </c>
      <c r="AR4" s="60">
        <v>12</v>
      </c>
      <c r="AS4" s="60">
        <v>12</v>
      </c>
      <c r="AT4" s="60">
        <v>0</v>
      </c>
      <c r="AU4" s="60">
        <v>0</v>
      </c>
      <c r="AV4" s="60">
        <v>6</v>
      </c>
      <c r="AW4" s="60">
        <v>6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</row>
    <row r="5" spans="1:60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  <c r="AJ5" s="50" t="s">
        <v>447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24</v>
      </c>
      <c r="AU5" s="60">
        <v>26</v>
      </c>
      <c r="AV5" s="60">
        <v>27</v>
      </c>
      <c r="AW5" s="60">
        <v>28</v>
      </c>
      <c r="AX5" s="60">
        <v>29</v>
      </c>
      <c r="AY5" s="60">
        <v>29</v>
      </c>
      <c r="AZ5" s="60">
        <v>29</v>
      </c>
      <c r="BA5" s="60">
        <v>24</v>
      </c>
      <c r="BB5" s="60">
        <v>22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0</v>
      </c>
    </row>
    <row r="6" spans="1:60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60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60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60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60" x14ac:dyDescent="0.25">
      <c r="A10" s="51" t="s">
        <v>438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60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60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60" x14ac:dyDescent="0.25">
      <c r="A13" s="2" t="s">
        <v>12</v>
      </c>
      <c r="B13" s="65" t="s">
        <v>172</v>
      </c>
    </row>
    <row r="14" spans="1:60" x14ac:dyDescent="0.25">
      <c r="A14" s="44" t="s">
        <v>171</v>
      </c>
    </row>
    <row r="15" spans="1:60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0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A50" s="5">
        <v>30.9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lot2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57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57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57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57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57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57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57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57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1" spans="1:57" x14ac:dyDescent="0.25">
      <c r="AA121">
        <f>AA49*4.75</f>
        <v>0</v>
      </c>
    </row>
    <row r="122" spans="1:57" x14ac:dyDescent="0.25">
      <c r="A122" s="2" t="s">
        <v>14</v>
      </c>
      <c r="B122" s="15" t="s">
        <v>204</v>
      </c>
      <c r="AH122" t="s">
        <v>483</v>
      </c>
    </row>
    <row r="123" spans="1:57" x14ac:dyDescent="0.25">
      <c r="A123" s="127" t="str">
        <f>A$15</f>
        <v>lot1</v>
      </c>
      <c r="B123" s="60">
        <v>0</v>
      </c>
      <c r="C123" s="60">
        <v>0</v>
      </c>
      <c r="D123" s="60">
        <v>0</v>
      </c>
      <c r="E123" s="60">
        <v>0</v>
      </c>
      <c r="F123" s="60">
        <v>0.8</v>
      </c>
      <c r="G123" s="60">
        <v>0.8</v>
      </c>
      <c r="H123" s="60">
        <v>0.8</v>
      </c>
      <c r="I123" s="60">
        <v>0.8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0.6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  <c r="AH123">
        <v>0</v>
      </c>
      <c r="AI123">
        <v>0</v>
      </c>
      <c r="AJ123">
        <v>0</v>
      </c>
      <c r="AK123">
        <v>0</v>
      </c>
      <c r="AL123">
        <v>0.8</v>
      </c>
      <c r="AM123">
        <v>0.8</v>
      </c>
      <c r="AN123">
        <v>0.8</v>
      </c>
      <c r="AO123">
        <v>0.8</v>
      </c>
      <c r="AP123">
        <v>0.8</v>
      </c>
      <c r="AQ123">
        <v>0.8</v>
      </c>
      <c r="AR123">
        <v>0.8</v>
      </c>
      <c r="AS123">
        <v>0.8</v>
      </c>
      <c r="AT123">
        <v>0.8</v>
      </c>
      <c r="AU123">
        <v>0.8</v>
      </c>
      <c r="AV123">
        <v>0.8</v>
      </c>
      <c r="AW123">
        <v>0.8</v>
      </c>
      <c r="AX123">
        <v>0.8</v>
      </c>
      <c r="AY123">
        <v>0.8</v>
      </c>
      <c r="AZ123">
        <v>0.8</v>
      </c>
      <c r="BA123">
        <v>0.8</v>
      </c>
      <c r="BB123">
        <v>0.8</v>
      </c>
      <c r="BC123">
        <v>0</v>
      </c>
      <c r="BD123">
        <v>0</v>
      </c>
      <c r="BE123">
        <v>0</v>
      </c>
    </row>
    <row r="124" spans="1:57" x14ac:dyDescent="0.25">
      <c r="A124" s="128" t="str">
        <f>A$16</f>
        <v>lot2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0</v>
      </c>
      <c r="BD124">
        <v>0</v>
      </c>
      <c r="BE124">
        <v>0</v>
      </c>
    </row>
    <row r="125" spans="1:57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>
        <v>1</v>
      </c>
      <c r="J125" s="60">
        <v>1</v>
      </c>
      <c r="K125" s="60"/>
      <c r="L125" s="60"/>
      <c r="M125" s="60">
        <v>1</v>
      </c>
      <c r="N125" s="60">
        <v>1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O125">
        <v>1</v>
      </c>
      <c r="AP125">
        <v>1</v>
      </c>
      <c r="AS125">
        <v>1</v>
      </c>
      <c r="AT125">
        <v>1</v>
      </c>
    </row>
    <row r="126" spans="1:57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</row>
    <row r="127" spans="1:57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7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408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AK1" activePane="topRight" state="frozen"/>
      <selection pane="topRight" activeCell="C4" sqref="C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2">
        <f>MAX(CdTrp1!AD56:AD57)+MAX(CdTrp2!AD56:AD57)+MAX(CdTrp3!AD56:AD57)+MAX(CdTrp4!AD56:AD57)</f>
        <v>28.463744520976832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2">
        <f>CdTrp1!AA147+CdTrp2!AA147+CdTrp3!AA147+CdTrp4!AA147</f>
        <v>110.53131699379061</v>
      </c>
      <c r="D4" t="s">
        <v>246</v>
      </c>
      <c r="F4" s="2" t="s">
        <v>419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2">
        <f>SUM(Troupeau!B65:E65)</f>
        <v>0</v>
      </c>
      <c r="D5" t="s">
        <v>188</v>
      </c>
      <c r="F5" s="38" t="s">
        <v>216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0.6262008953068593</v>
      </c>
      <c r="J5" s="142">
        <f>CdTrp1!E215+CdTrp2!E215+CdTrp3!E215+CdTrp4!E215</f>
        <v>2.3858472389891698</v>
      </c>
      <c r="K5" s="142">
        <f>CdTrp1!F215+CdTrp2!F215+CdTrp3!F215+CdTrp4!F215</f>
        <v>2.8289530667870046</v>
      </c>
      <c r="L5" s="142">
        <f>CdTrp1!G215+CdTrp2!G215+CdTrp3!G215+CdTrp4!G215</f>
        <v>2.9145580223826717</v>
      </c>
      <c r="M5" s="142">
        <f>CdTrp1!H215+CdTrp2!H215+CdTrp3!H215+CdTrp4!H215</f>
        <v>2.826087498194946</v>
      </c>
      <c r="N5" s="142">
        <f>CdTrp1!I215+CdTrp2!I215+CdTrp3!I215+CdTrp4!I215</f>
        <v>4.6373554332129965</v>
      </c>
      <c r="O5" s="142">
        <f>CdTrp1!J215+CdTrp2!J215+CdTrp3!J215+CdTrp4!J215</f>
        <v>7.1387229747292427</v>
      </c>
      <c r="P5" s="142">
        <f>CdTrp1!K215+CdTrp2!K215+CdTrp3!K215+CdTrp4!K215</f>
        <v>7.1749154859205788</v>
      </c>
      <c r="Q5" s="142">
        <f>CdTrp1!L215+CdTrp2!L215+CdTrp3!L215+CdTrp4!L215</f>
        <v>4.3833428447653437</v>
      </c>
      <c r="R5" s="142">
        <f>CdTrp1!M215+CdTrp2!M215+CdTrp3!M215+CdTrp4!M215</f>
        <v>0</v>
      </c>
      <c r="S5" s="142">
        <f>CdTrp1!N215+CdTrp2!N215+CdTrp3!N215+CdTrp4!N215</f>
        <v>0</v>
      </c>
      <c r="T5" s="142">
        <f>CdTrp1!O215+CdTrp2!O215+CdTrp3!O215+CdTrp4!O215</f>
        <v>0</v>
      </c>
      <c r="U5" s="142">
        <f>CdTrp1!P215+CdTrp2!P215+CdTrp3!P215+CdTrp4!P215</f>
        <v>0</v>
      </c>
      <c r="V5" s="142">
        <f>CdTrp1!Q215+CdTrp2!Q215+CdTrp3!Q215+CdTrp4!Q215</f>
        <v>1.4377061371841158</v>
      </c>
      <c r="W5" s="142">
        <f>CdTrp1!R215+CdTrp2!R215+CdTrp3!R215+CdTrp4!R215</f>
        <v>1.3913285198555956</v>
      </c>
      <c r="X5" s="142">
        <f>CdTrp1!S215+CdTrp2!S215+CdTrp3!S215+CdTrp4!S215</f>
        <v>3.5770580577617328</v>
      </c>
      <c r="Y5" s="142">
        <f>CdTrp1!T215+CdTrp2!T215+CdTrp3!T215+CdTrp4!T215</f>
        <v>3.0802444386281587</v>
      </c>
      <c r="Z5" s="142">
        <f>CdTrp1!U215+CdTrp2!U215+CdTrp3!U215+CdTrp4!U215</f>
        <v>2.0589836057761732</v>
      </c>
      <c r="AA5" s="142">
        <f>CdTrp1!V215+CdTrp2!V215+CdTrp3!V215+CdTrp4!V215</f>
        <v>2.3188808664259932</v>
      </c>
      <c r="AB5" s="142">
        <f>CdTrp1!W215+CdTrp2!W215+CdTrp3!W215+CdTrp4!W215</f>
        <v>1.5459205776173286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84.911847786281584</v>
      </c>
      <c r="AG5" t="s">
        <v>221</v>
      </c>
    </row>
    <row r="6" spans="1:53" x14ac:dyDescent="0.25">
      <c r="B6" s="14" t="s">
        <v>291</v>
      </c>
      <c r="C6" s="142">
        <f>SUM(Troupeau!B68:E68)</f>
        <v>0</v>
      </c>
      <c r="D6" t="s">
        <v>246</v>
      </c>
      <c r="F6" s="38" t="s">
        <v>217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0</v>
      </c>
      <c r="N6" s="142">
        <f>CdTrp1!I216+CdTrp2!I216+CdTrp3!I216+CdTrp4!I216</f>
        <v>0</v>
      </c>
      <c r="O6" s="142">
        <f>CdTrp1!J216+CdTrp2!J216+CdTrp3!J216+CdTrp4!J216</f>
        <v>0</v>
      </c>
      <c r="P6" s="142">
        <f>CdTrp1!K216+CdTrp2!K216+CdTrp3!K216+CdTrp4!K216</f>
        <v>0</v>
      </c>
      <c r="Q6" s="142">
        <f>CdTrp1!L216+CdTrp2!L216+CdTrp3!L216+CdTrp4!L216</f>
        <v>0</v>
      </c>
      <c r="R6" s="142">
        <f>CdTrp1!M216+CdTrp2!M216+CdTrp3!M216+CdTrp4!M216</f>
        <v>0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0</v>
      </c>
      <c r="W6" s="142">
        <f>CdTrp1!R216+CdTrp2!R216+CdTrp3!R216+CdTrp4!R216</f>
        <v>0</v>
      </c>
      <c r="X6" s="142">
        <f>CdTrp1!S216+CdTrp2!S216+CdTrp3!S216+CdTrp4!S216</f>
        <v>0</v>
      </c>
      <c r="Y6" s="142">
        <f>CdTrp1!T216+CdTrp2!T216+CdTrp3!T216+CdTrp4!T216</f>
        <v>0</v>
      </c>
      <c r="Z6" s="142">
        <f>CdTrp1!U216+CdTrp2!U216+CdTrp3!U216+CdTrp4!U216</f>
        <v>0</v>
      </c>
      <c r="AA6" s="142">
        <f>CdTrp1!V216+CdTrp2!V216+CdTrp3!V216+CdTrp4!V216</f>
        <v>0</v>
      </c>
      <c r="AB6" s="142">
        <f>CdTrp1!W216+CdTrp2!W216+CdTrp3!W216+CdTrp4!W216</f>
        <v>0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293</v>
      </c>
      <c r="C7" s="143">
        <f>ROUNDUP(C4-C6-0.9*C5,1)</f>
        <v>110.6</v>
      </c>
      <c r="D7" t="s">
        <v>246</v>
      </c>
      <c r="F7" s="38" t="s">
        <v>218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</v>
      </c>
      <c r="M7" s="142">
        <f>CdTrp1!H217+CdTrp2!H217+CdTrp3!H217+CdTrp4!H217</f>
        <v>0</v>
      </c>
      <c r="N7" s="142">
        <f>CdTrp1!I217+CdTrp2!I217+CdTrp3!I217+CdTrp4!I217</f>
        <v>0</v>
      </c>
      <c r="O7" s="142">
        <f>CdTrp1!J217+CdTrp2!J217+CdTrp3!J217+CdTrp4!J217</f>
        <v>0</v>
      </c>
      <c r="P7" s="142">
        <f>CdTrp1!K217+CdTrp2!K217+CdTrp3!K217+CdTrp4!K217</f>
        <v>0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0</v>
      </c>
      <c r="T7" s="142">
        <f>CdTrp1!O217+CdTrp2!O217+CdTrp3!O217+CdTrp4!O217</f>
        <v>0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0</v>
      </c>
      <c r="AA7" s="142">
        <f>CdTrp1!V217+CdTrp2!V217+CdTrp3!V217+CdTrp4!V217</f>
        <v>0</v>
      </c>
      <c r="AB7" s="142">
        <f>CdTrp1!W217+CdTrp2!W217+CdTrp3!W217+CdTrp4!W217</f>
        <v>0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2"/>
      <c r="F8" s="38" t="s">
        <v>247</v>
      </c>
      <c r="G8" s="142">
        <f>SUM(G5:G7)</f>
        <v>0</v>
      </c>
      <c r="H8" s="142">
        <f t="shared" ref="H8:AD8" si="0">SUM(H5:H7)</f>
        <v>0</v>
      </c>
      <c r="I8" s="142">
        <f t="shared" si="0"/>
        <v>0.6262008953068593</v>
      </c>
      <c r="J8" s="142">
        <f t="shared" si="0"/>
        <v>2.3858472389891698</v>
      </c>
      <c r="K8" s="142">
        <f t="shared" si="0"/>
        <v>2.8289530667870046</v>
      </c>
      <c r="L8" s="142">
        <f t="shared" si="0"/>
        <v>2.9145580223826717</v>
      </c>
      <c r="M8" s="142">
        <f t="shared" si="0"/>
        <v>2.826087498194946</v>
      </c>
      <c r="N8" s="142">
        <f t="shared" si="0"/>
        <v>4.6373554332129965</v>
      </c>
      <c r="O8" s="142">
        <f t="shared" si="0"/>
        <v>7.1387229747292427</v>
      </c>
      <c r="P8" s="142">
        <f t="shared" si="0"/>
        <v>7.1749154859205788</v>
      </c>
      <c r="Q8" s="142">
        <f t="shared" si="0"/>
        <v>4.3833428447653437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2">
        <f t="shared" si="0"/>
        <v>1.4377061371841158</v>
      </c>
      <c r="W8" s="142">
        <f t="shared" si="0"/>
        <v>1.3913285198555956</v>
      </c>
      <c r="X8" s="142">
        <f t="shared" si="0"/>
        <v>3.5770580577617328</v>
      </c>
      <c r="Y8" s="142">
        <f t="shared" si="0"/>
        <v>3.0802444386281587</v>
      </c>
      <c r="Z8" s="142">
        <f t="shared" si="0"/>
        <v>2.0589836057761732</v>
      </c>
      <c r="AA8" s="142">
        <f t="shared" si="0"/>
        <v>2.3188808664259932</v>
      </c>
      <c r="AB8" s="142">
        <f t="shared" si="0"/>
        <v>1.5459205776173286</v>
      </c>
      <c r="AC8" s="142">
        <f t="shared" si="0"/>
        <v>0</v>
      </c>
      <c r="AD8" s="142">
        <f t="shared" si="0"/>
        <v>0</v>
      </c>
      <c r="AE8" s="152"/>
      <c r="AF8" s="143">
        <f>SUM(G8:AD8)</f>
        <v>50.326105663537909</v>
      </c>
      <c r="AG8" t="s">
        <v>320</v>
      </c>
    </row>
    <row r="9" spans="1:53" x14ac:dyDescent="0.25">
      <c r="F9" s="38" t="s">
        <v>219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5.479178555956679</v>
      </c>
      <c r="S9" s="142">
        <f>CdTrp1!N218+CdTrp2!N218+CdTrp3!N218+CdTrp4!N218</f>
        <v>6.4285944476534294</v>
      </c>
      <c r="T9" s="142">
        <f>CdTrp1!O218+CdTrp2!O218+CdTrp3!O218+CdTrp4!O218</f>
        <v>6.4285944476534294</v>
      </c>
      <c r="U9" s="142">
        <f>CdTrp1!P218+CdTrp2!P218+CdTrp3!P218+CdTrp4!P218</f>
        <v>6.4285944476534294</v>
      </c>
      <c r="V9" s="142">
        <f>CdTrp1!Q218+CdTrp2!Q218+CdTrp3!Q218+CdTrp4!Q218</f>
        <v>4.9908883104693134</v>
      </c>
      <c r="W9" s="142">
        <f>CdTrp1!R218+CdTrp2!R218+CdTrp3!R218+CdTrp4!R218</f>
        <v>4.8298919133574012</v>
      </c>
      <c r="X9" s="142">
        <f>CdTrp1!S218+CdTrp2!S218+CdTrp3!S218+CdTrp4!S218</f>
        <v>0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34.585742122743682</v>
      </c>
      <c r="AG9" t="s">
        <v>223</v>
      </c>
    </row>
    <row r="10" spans="1:53" x14ac:dyDescent="0.25">
      <c r="A10" s="2" t="s">
        <v>420</v>
      </c>
      <c r="B10" s="15"/>
      <c r="C10" s="49"/>
    </row>
    <row r="11" spans="1:53" x14ac:dyDescent="0.25">
      <c r="B11" s="19" t="str">
        <f>[1]Conc!C5</f>
        <v>1 -maïs-grain</v>
      </c>
      <c r="C11" s="143">
        <f>G14</f>
        <v>17.400000000000002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3">
        <f>H14</f>
        <v>0</v>
      </c>
      <c r="D12" t="s">
        <v>188</v>
      </c>
      <c r="G12" t="s">
        <v>421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188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188</v>
      </c>
      <c r="E14" s="21"/>
      <c r="G14" s="144">
        <f>CdTrp1!AK54+CdTrp2!AK54+CdTrp3!AK54+CdTrp4!AK54</f>
        <v>17.400000000000002</v>
      </c>
      <c r="H14" s="144">
        <f>CdTrp1!AL54+CdTrp2!AL54+CdTrp3!AL54+CdTrp4!AL54</f>
        <v>0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7.8</v>
      </c>
      <c r="R14" s="144">
        <f>CdTrp1!AV54+CdTrp2!AV54+CdTrp3!AV54+CdTrp4!AV54</f>
        <v>0</v>
      </c>
      <c r="S14" s="144">
        <f>CdTrp1!AW54+CdTrp2!AW54+CdTrp3!AW54+CdTrp4!AW54</f>
        <v>2.7</v>
      </c>
      <c r="T14" s="144">
        <f>CdTrp1!AX54+CdTrp2!AX54+CdTrp3!AX54+CdTrp4!AX54</f>
        <v>5.3</v>
      </c>
      <c r="U14" s="144">
        <f>CdTrp1!AY54+CdTrp2!AY54+CdTrp3!AY54+CdTrp4!AY54</f>
        <v>0</v>
      </c>
      <c r="V14" s="144">
        <f>CdTrp1!AZ54+CdTrp2!AZ54+CdTrp3!AZ54+CdTrp4!AZ54</f>
        <v>0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3">
        <f>L14</f>
        <v>0</v>
      </c>
      <c r="F16" s="49"/>
      <c r="G16" s="139"/>
      <c r="H16" s="49"/>
      <c r="I16" s="49"/>
    </row>
    <row r="17" spans="2:9" x14ac:dyDescent="0.25">
      <c r="B17" s="19" t="str">
        <f>[1]Conc!C11</f>
        <v>7 -luzerne déshydratée</v>
      </c>
      <c r="C17" s="143">
        <f>M14</f>
        <v>0</v>
      </c>
      <c r="D17" s="130"/>
      <c r="E17" s="5"/>
      <c r="F17" s="49"/>
      <c r="G17" s="139"/>
      <c r="H17" s="49"/>
      <c r="I17" s="49"/>
    </row>
    <row r="18" spans="2:9" x14ac:dyDescent="0.25">
      <c r="B18" s="19" t="str">
        <f>[1]Conc!C12</f>
        <v>8 -CMV bovin allaitant</v>
      </c>
      <c r="C18" s="143">
        <f>N14</f>
        <v>0</v>
      </c>
      <c r="D18" s="131"/>
      <c r="E18" s="5"/>
      <c r="F18" s="49"/>
      <c r="G18" s="139"/>
      <c r="H18" s="49"/>
      <c r="I18" s="49"/>
    </row>
    <row r="19" spans="2:9" x14ac:dyDescent="0.25">
      <c r="B19" s="19" t="str">
        <f>[1]Conc!C13</f>
        <v>9 -croissance porcs</v>
      </c>
      <c r="C19" s="143">
        <f>O14</f>
        <v>0</v>
      </c>
      <c r="D19" s="59"/>
      <c r="E19" s="5"/>
      <c r="F19" s="49"/>
      <c r="G19" s="139"/>
      <c r="H19" s="49"/>
      <c r="I19" s="49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3"/>
      <c r="E20" s="5"/>
      <c r="F20" s="49"/>
      <c r="G20" s="139"/>
      <c r="H20" s="49"/>
      <c r="I20" s="49"/>
    </row>
    <row r="21" spans="2:9" x14ac:dyDescent="0.25">
      <c r="B21" s="19" t="str">
        <f>[1]Conc!C15</f>
        <v xml:space="preserve">11 -correcteur N brebis lait </v>
      </c>
      <c r="C21" s="143">
        <f>Q14</f>
        <v>7.8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2.7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5.3</v>
      </c>
    </row>
    <row r="25" spans="2:9" x14ac:dyDescent="0.25">
      <c r="B25" s="19" t="str">
        <f>[1]Conc!C19</f>
        <v>15 -concentré bovin allaitant</v>
      </c>
      <c r="C25" s="143">
        <f>U14</f>
        <v>0</v>
      </c>
    </row>
    <row r="26" spans="2:9" x14ac:dyDescent="0.25">
      <c r="B26" s="19" t="str">
        <f>[1]Conc!C20</f>
        <v>16 -correcteur N bovin allaitant</v>
      </c>
      <c r="C26" s="143">
        <f>V14</f>
        <v>0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Q9" sqref="Q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140625" customWidth="1"/>
    <col min="16" max="16" width="4.7109375" customWidth="1"/>
    <col min="17" max="17" width="6.28515625" style="58" customWidth="1"/>
    <col min="18" max="18" width="6.28515625" customWidth="1"/>
    <col min="19" max="19" width="27.140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5" t="s">
        <v>409</v>
      </c>
      <c r="Q1" s="139"/>
      <c r="S1" s="139"/>
      <c r="AA1" s="139"/>
      <c r="AR1" s="37" t="s">
        <v>264</v>
      </c>
      <c r="AS1" s="59" t="s">
        <v>265</v>
      </c>
    </row>
    <row r="2" spans="2:71" x14ac:dyDescent="0.25">
      <c r="B2" s="145" t="s">
        <v>414</v>
      </c>
      <c r="Q2" s="139"/>
      <c r="S2" s="139"/>
      <c r="AA2" s="139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5" t="s">
        <v>410</v>
      </c>
      <c r="U3" s="146" t="s">
        <v>75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8"/>
      <c r="T4" s="58"/>
      <c r="U4" s="146" t="s">
        <v>81</v>
      </c>
      <c r="AA4"/>
      <c r="AC4" s="33" t="s">
        <v>77</v>
      </c>
      <c r="AE4" s="34" t="s">
        <v>78</v>
      </c>
      <c r="AL4" s="35" t="s">
        <v>79</v>
      </c>
      <c r="AQ4" s="32"/>
      <c r="AR4" s="73" t="s">
        <v>261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411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80</v>
      </c>
      <c r="Q5" s="58" t="s">
        <v>266</v>
      </c>
      <c r="R5" s="17"/>
      <c r="S5" s="138"/>
      <c r="T5" s="58"/>
      <c r="V5" s="2" t="s">
        <v>417</v>
      </c>
      <c r="AA5"/>
      <c r="AC5" s="58" t="s">
        <v>82</v>
      </c>
      <c r="AE5" t="s">
        <v>38</v>
      </c>
      <c r="AK5" s="21"/>
      <c r="AL5" s="35" t="s">
        <v>83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0.6262008953068593</v>
      </c>
      <c r="AV5" s="13">
        <f>'Conduite Trp'!J8</f>
        <v>2.3858472389891698</v>
      </c>
      <c r="AW5" s="13">
        <f>'Conduite Trp'!K8</f>
        <v>2.8289530667870046</v>
      </c>
      <c r="AX5" s="13">
        <f>'Conduite Trp'!L8</f>
        <v>2.9145580223826717</v>
      </c>
      <c r="AY5" s="13">
        <f>'Conduite Trp'!M8</f>
        <v>2.826087498194946</v>
      </c>
      <c r="AZ5" s="13">
        <f>'Conduite Trp'!N8</f>
        <v>4.6373554332129965</v>
      </c>
      <c r="BA5" s="13">
        <f>'Conduite Trp'!O8</f>
        <v>7.1387229747292427</v>
      </c>
      <c r="BB5" s="13">
        <f>'Conduite Trp'!P8</f>
        <v>7.1749154859205788</v>
      </c>
      <c r="BC5" s="13">
        <f>'Conduite Trp'!Q8</f>
        <v>4.3833428447653437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1.4377061371841158</v>
      </c>
      <c r="BI5" s="13">
        <f>'Conduite Trp'!W8</f>
        <v>1.3913285198555956</v>
      </c>
      <c r="BJ5" s="13">
        <f>'Conduite Trp'!X8</f>
        <v>3.5770580577617328</v>
      </c>
      <c r="BK5" s="13">
        <f>'Conduite Trp'!Y8</f>
        <v>3.0802444386281587</v>
      </c>
      <c r="BL5" s="13">
        <f>'Conduite Trp'!Z8</f>
        <v>2.0589836057761732</v>
      </c>
      <c r="BM5" s="13">
        <f>'Conduite Trp'!AA8</f>
        <v>2.3188808664259932</v>
      </c>
      <c r="BN5" s="13">
        <f>'Conduite Trp'!AB8</f>
        <v>1.5459205776173286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79</v>
      </c>
      <c r="I6" s="102"/>
      <c r="J6" s="102"/>
      <c r="K6" s="102" t="s">
        <v>306</v>
      </c>
      <c r="L6" s="81"/>
      <c r="M6" s="100"/>
      <c r="O6" s="58" t="s">
        <v>86</v>
      </c>
      <c r="Q6" s="150" t="s">
        <v>74</v>
      </c>
      <c r="R6" s="33" t="s">
        <v>50</v>
      </c>
      <c r="S6" s="150" t="s">
        <v>415</v>
      </c>
      <c r="T6" s="33" t="s">
        <v>416</v>
      </c>
      <c r="U6" s="2" t="s">
        <v>74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85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17-O30</f>
        <v>14.5</v>
      </c>
      <c r="P7">
        <v>1</v>
      </c>
      <c r="Q7" s="274">
        <v>292</v>
      </c>
      <c r="R7" s="39">
        <v>4</v>
      </c>
      <c r="S7" s="283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3.2</v>
      </c>
      <c r="AH7" s="61">
        <f t="shared" ref="AH7:AH26" si="3">$R7*Y7</f>
        <v>0</v>
      </c>
      <c r="AI7" s="61">
        <f t="shared" ref="AI7:AI26" si="4">$R7*Z7</f>
        <v>4</v>
      </c>
      <c r="AJ7" s="61">
        <f t="shared" ref="AJ7:AJ26" si="5">$R7*AA7</f>
        <v>0</v>
      </c>
      <c r="AK7" s="140"/>
      <c r="AL7" s="61">
        <f t="shared" ref="AL7:AL26" si="6">R7*AC7</f>
        <v>20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2.826087498194946</v>
      </c>
      <c r="AZ7" s="61">
        <f t="shared" si="7"/>
        <v>4.6373554332129965</v>
      </c>
      <c r="BA7" s="61">
        <f t="shared" si="7"/>
        <v>7.1387229747292427</v>
      </c>
      <c r="BB7" s="61">
        <f t="shared" si="7"/>
        <v>7.1749154859205788</v>
      </c>
      <c r="BC7" s="61">
        <f t="shared" si="7"/>
        <v>4.3833428447653437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26.160424236823108</v>
      </c>
      <c r="BS7" s="61">
        <f>COUNTIF($AS$4:$BP$4,1)/2</f>
        <v>3</v>
      </c>
    </row>
    <row r="8" spans="2:71" x14ac:dyDescent="0.25">
      <c r="B8" s="98" t="s">
        <v>303</v>
      </c>
      <c r="C8" s="103" t="s">
        <v>85</v>
      </c>
      <c r="D8" s="99"/>
      <c r="E8" s="99"/>
      <c r="F8" s="76">
        <f>'Conduite Trp'!C3</f>
        <v>28.463744520976832</v>
      </c>
      <c r="G8" s="99"/>
      <c r="H8" s="99"/>
      <c r="I8" s="99"/>
      <c r="J8" s="99"/>
      <c r="K8" s="99"/>
      <c r="L8" s="81"/>
      <c r="M8" s="100"/>
      <c r="N8" s="146" t="s">
        <v>87</v>
      </c>
      <c r="O8" s="42">
        <f>SUM(R7:R26)</f>
        <v>14.5</v>
      </c>
      <c r="P8">
        <v>2</v>
      </c>
      <c r="Q8" s="274">
        <v>286</v>
      </c>
      <c r="R8" s="39">
        <v>5</v>
      </c>
      <c r="S8" s="283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12.5</v>
      </c>
      <c r="AF8" s="61">
        <f t="shared" si="1"/>
        <v>0</v>
      </c>
      <c r="AG8" s="61">
        <f t="shared" si="2"/>
        <v>6.25</v>
      </c>
      <c r="AH8" s="61">
        <f t="shared" si="3"/>
        <v>1.75</v>
      </c>
      <c r="AI8" s="61">
        <f t="shared" si="4"/>
        <v>5</v>
      </c>
      <c r="AJ8" s="61">
        <f t="shared" si="5"/>
        <v>0</v>
      </c>
      <c r="AK8" s="140"/>
      <c r="AL8" s="61">
        <f t="shared" si="6"/>
        <v>18.5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1.4377061371841158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1.4377061371841158</v>
      </c>
      <c r="BS8" s="61">
        <f>COUNTIF($AS$4:$BP$4,2)/2</f>
        <v>2</v>
      </c>
    </row>
    <row r="9" spans="2:71" x14ac:dyDescent="0.25">
      <c r="B9" s="98" t="s">
        <v>304</v>
      </c>
      <c r="C9" s="103" t="s">
        <v>85</v>
      </c>
      <c r="D9" s="99"/>
      <c r="E9" s="99"/>
      <c r="F9" s="61">
        <f>F7+F8</f>
        <v>28.463744520976832</v>
      </c>
      <c r="G9" s="81"/>
      <c r="H9" s="61">
        <f>SUM(L34:L43)</f>
        <v>3.9000000000000004</v>
      </c>
      <c r="I9" s="81"/>
      <c r="J9" s="81"/>
      <c r="K9" s="93">
        <f>H9-F9</f>
        <v>-24.563744520976833</v>
      </c>
      <c r="L9" s="81"/>
      <c r="M9" s="100"/>
      <c r="P9">
        <v>3</v>
      </c>
      <c r="Q9" s="39">
        <v>285</v>
      </c>
      <c r="R9" s="39">
        <v>1.5</v>
      </c>
      <c r="S9" s="283" t="str">
        <f>VLOOKUP($Q9,[1]MEP!$A$5:$D$300,3)</f>
        <v>PP bonne Prélevt étalé sans pat hivernal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3</v>
      </c>
      <c r="W9" s="76">
        <f>VLOOKUP($Q9,[1]MEP!$A$4:$K$300,6)</f>
        <v>1.5</v>
      </c>
      <c r="X9" s="76">
        <f>VLOOKUP($Q9,[1]MEP!$A$4:$K$300,7)</f>
        <v>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4.5</v>
      </c>
      <c r="AF9" s="61">
        <f t="shared" si="1"/>
        <v>2.25</v>
      </c>
      <c r="AG9" s="61">
        <f t="shared" si="2"/>
        <v>3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0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1.3913285198555956</v>
      </c>
      <c r="BJ9" s="61">
        <f t="shared" si="10"/>
        <v>3.5770580577617328</v>
      </c>
      <c r="BK9" s="61">
        <f t="shared" si="10"/>
        <v>3.0802444386281587</v>
      </c>
      <c r="BL9" s="61">
        <f t="shared" si="10"/>
        <v>2.0589836057761732</v>
      </c>
      <c r="BM9" s="61">
        <f t="shared" si="10"/>
        <v>2.3188808664259932</v>
      </c>
      <c r="BN9" s="61">
        <f t="shared" si="10"/>
        <v>1.5459205776173286</v>
      </c>
      <c r="BO9" s="61">
        <f t="shared" si="10"/>
        <v>0</v>
      </c>
      <c r="BP9" s="61">
        <f t="shared" si="10"/>
        <v>0</v>
      </c>
      <c r="BR9" s="61">
        <f t="shared" si="9"/>
        <v>13.972416066064982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84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279</v>
      </c>
      <c r="R10" s="39">
        <v>4</v>
      </c>
      <c r="S10" s="283" t="str">
        <f>VLOOKUP($Q10,[1]MEP!$A$5:$D$300,3)</f>
        <v>PP BONNE 1 CP ESTIVALE</v>
      </c>
      <c r="T10" s="76" t="str">
        <f>VLOOKUP($Q10,[1]MEP!$A$5:$D$300,4)</f>
        <v>zone 2</v>
      </c>
      <c r="U10" s="76" t="str">
        <f>VLOOKUP($Q10,[1]MEP!$A$4:$K$300,2)</f>
        <v>F/P</v>
      </c>
      <c r="V10" s="76">
        <f>VLOOKUP($Q10,[1]MEP!$A$4:$K$300,5)</f>
        <v>2.5</v>
      </c>
      <c r="W10" s="76">
        <f>VLOOKUP($Q10,[1]MEP!$A$4:$K$300,6)</f>
        <v>0</v>
      </c>
      <c r="X10" s="76">
        <f>VLOOKUP($Q10,[1]MEP!$A$4:$K$300,7)</f>
        <v>1.25</v>
      </c>
      <c r="Y10" s="76">
        <f>VLOOKUP($Q10,[1]MEP!$A$4:$K$300,8)</f>
        <v>0.1</v>
      </c>
      <c r="Z10" s="76">
        <f>VLOOKUP($Q10,[1]MEP!$A$4:$K$300,9)</f>
        <v>0.25</v>
      </c>
      <c r="AA10" s="76">
        <f>VLOOKUP($Q10,[1]MEP!$A$4:$K$300,10)</f>
        <v>0</v>
      </c>
      <c r="AC10" s="76">
        <f>VLOOKUP($Q10,[1]MEP!$A$4:$K$300,11)</f>
        <v>3.5</v>
      </c>
      <c r="AE10" s="61">
        <f t="shared" si="0"/>
        <v>10</v>
      </c>
      <c r="AF10" s="61">
        <f t="shared" si="1"/>
        <v>0</v>
      </c>
      <c r="AG10" s="61">
        <f t="shared" si="2"/>
        <v>5</v>
      </c>
      <c r="AH10" s="61">
        <f t="shared" si="3"/>
        <v>0.4</v>
      </c>
      <c r="AI10" s="61">
        <f t="shared" si="4"/>
        <v>1</v>
      </c>
      <c r="AJ10" s="61">
        <f t="shared" si="5"/>
        <v>0</v>
      </c>
      <c r="AK10" s="140"/>
      <c r="AL10" s="61">
        <f t="shared" si="6"/>
        <v>14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0.6262008953068593</v>
      </c>
      <c r="AV10" s="61">
        <f t="shared" si="11"/>
        <v>2.3858472389891698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3.012048134296029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0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2.8289530667870046</v>
      </c>
      <c r="AX11" s="61">
        <f t="shared" si="12"/>
        <v>2.9145580223826717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5.7435110891696759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0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17.400000000000002</v>
      </c>
      <c r="G13" s="81"/>
      <c r="H13" s="61">
        <f>F61</f>
        <v>0</v>
      </c>
      <c r="I13" s="81"/>
      <c r="J13" s="81"/>
      <c r="K13" s="93">
        <f>H13-F13</f>
        <v>-17.400000000000002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0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0"/>
      <c r="AL14" s="61">
        <f t="shared" si="6"/>
        <v>0</v>
      </c>
      <c r="AP14" s="190"/>
      <c r="AQ14" s="190"/>
      <c r="AR14" s="273" t="s">
        <v>1436</v>
      </c>
      <c r="AS14" s="36"/>
      <c r="AU14" s="2"/>
      <c r="AV14" s="2"/>
      <c r="BA14" s="33"/>
      <c r="BS14" s="166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O15">
        <f>+O8+O30</f>
        <v>17</v>
      </c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0"/>
      <c r="AL15" s="61">
        <f t="shared" si="6"/>
        <v>0</v>
      </c>
      <c r="AR15" s="32" t="s">
        <v>1437</v>
      </c>
      <c r="AS15" s="13">
        <f>'Conduite Trp'!G5</f>
        <v>0</v>
      </c>
      <c r="AT15" s="13">
        <f>'Conduite Trp'!H5</f>
        <v>0</v>
      </c>
      <c r="AU15" s="13">
        <f>'Conduite Trp'!I5</f>
        <v>0.6262008953068593</v>
      </c>
      <c r="AV15" s="13">
        <f>'Conduite Trp'!J5</f>
        <v>2.3858472389891698</v>
      </c>
      <c r="AW15" s="13">
        <f>'Conduite Trp'!K5</f>
        <v>2.8289530667870046</v>
      </c>
      <c r="AX15" s="13">
        <f>'Conduite Trp'!L5</f>
        <v>2.9145580223826717</v>
      </c>
      <c r="AY15" s="13">
        <f>'Conduite Trp'!M5</f>
        <v>2.826087498194946</v>
      </c>
      <c r="AZ15" s="13">
        <f>'Conduite Trp'!N5</f>
        <v>4.6373554332129965</v>
      </c>
      <c r="BA15" s="13">
        <f>'Conduite Trp'!O5</f>
        <v>7.1387229747292427</v>
      </c>
      <c r="BB15" s="13">
        <f>'Conduite Trp'!P5</f>
        <v>7.1749154859205788</v>
      </c>
      <c r="BC15" s="13">
        <f>'Conduite Trp'!Q5</f>
        <v>4.3833428447653437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1.4377061371841158</v>
      </c>
      <c r="BI15" s="13">
        <f>'Conduite Trp'!W5</f>
        <v>1.3913285198555956</v>
      </c>
      <c r="BJ15" s="13">
        <f>'Conduite Trp'!X5</f>
        <v>3.5770580577617328</v>
      </c>
      <c r="BK15" s="13">
        <f>'Conduite Trp'!Y5</f>
        <v>3.0802444386281587</v>
      </c>
      <c r="BL15" s="13">
        <f>'Conduite Trp'!Z5</f>
        <v>2.0589836057761732</v>
      </c>
      <c r="BM15" s="13">
        <f>'Conduite Trp'!AA5</f>
        <v>2.3188808664259932</v>
      </c>
      <c r="BN15" s="13">
        <f>'Conduite Trp'!AB5</f>
        <v>1.5459205776173286</v>
      </c>
      <c r="BO15" s="13">
        <f>'Conduite Trp'!AC5</f>
        <v>0</v>
      </c>
      <c r="BP15" s="13">
        <f>'Conduite Trp'!AD5</f>
        <v>0</v>
      </c>
      <c r="BS15" s="166"/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0"/>
      <c r="AL16" s="61">
        <f t="shared" si="6"/>
        <v>0</v>
      </c>
      <c r="AR16" s="32" t="s">
        <v>1438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66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0"/>
      <c r="AL17" s="61">
        <f t="shared" si="6"/>
        <v>0</v>
      </c>
      <c r="AR17" s="32" t="s">
        <v>1439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66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66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1437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2.826087498194946</v>
      </c>
      <c r="AZ19" s="61">
        <f t="shared" si="15"/>
        <v>4.6373554332129965</v>
      </c>
      <c r="BA19" s="61">
        <f t="shared" si="15"/>
        <v>7.1387229747292427</v>
      </c>
      <c r="BB19" s="61">
        <f t="shared" si="15"/>
        <v>7.1749154859205788</v>
      </c>
      <c r="BC19" s="61">
        <f t="shared" si="15"/>
        <v>4.3833428447653437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26.160424236823108</v>
      </c>
      <c r="BS19" s="166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8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1.4377061371841158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1.4377061371841158</v>
      </c>
      <c r="BS20" s="166"/>
    </row>
    <row r="21" spans="2:72" ht="15" customHeight="1" x14ac:dyDescent="0.25">
      <c r="B21" s="112"/>
      <c r="C21" s="28"/>
      <c r="D21" s="114" t="s">
        <v>76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1.3913285198555956</v>
      </c>
      <c r="BJ21" s="61">
        <f t="shared" si="18"/>
        <v>3.5770580577617328</v>
      </c>
      <c r="BK21" s="61">
        <f t="shared" si="18"/>
        <v>3.0802444386281587</v>
      </c>
      <c r="BL21" s="61">
        <f t="shared" si="18"/>
        <v>2.0589836057761732</v>
      </c>
      <c r="BM21" s="61">
        <f t="shared" si="18"/>
        <v>2.3188808664259932</v>
      </c>
      <c r="BN21" s="61">
        <f t="shared" si="18"/>
        <v>1.5459205776173286</v>
      </c>
      <c r="BO21" s="61">
        <f t="shared" si="18"/>
        <v>0</v>
      </c>
      <c r="BP21" s="61">
        <f t="shared" si="18"/>
        <v>0</v>
      </c>
      <c r="BR21" s="61">
        <f t="shared" si="17"/>
        <v>13.972416066064982</v>
      </c>
      <c r="BS21" s="166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413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0.6262008953068593</v>
      </c>
      <c r="AV22" s="61">
        <f t="shared" si="19"/>
        <v>2.3858472389891698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3.012048134296029</v>
      </c>
      <c r="BS22" s="166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7" t="s">
        <v>412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2.8289530667870046</v>
      </c>
      <c r="AX23" s="61">
        <f t="shared" si="20"/>
        <v>2.9145580223826717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5.7435110891696759</v>
      </c>
      <c r="BS23" s="166"/>
    </row>
    <row r="24" spans="2:72" ht="15" customHeight="1" x14ac:dyDescent="0.25">
      <c r="B24" s="112"/>
      <c r="C24" s="117" t="s">
        <v>88</v>
      </c>
      <c r="D24" s="61">
        <f t="shared" ref="D24:I24" si="21">AE27+AE49+AE71</f>
        <v>27</v>
      </c>
      <c r="E24" s="61">
        <f t="shared" si="21"/>
        <v>2.25</v>
      </c>
      <c r="F24" s="61">
        <f t="shared" si="21"/>
        <v>17.45</v>
      </c>
      <c r="G24" s="61">
        <f t="shared" si="21"/>
        <v>2.15</v>
      </c>
      <c r="H24" s="61">
        <f t="shared" si="21"/>
        <v>10</v>
      </c>
      <c r="I24" s="61">
        <f t="shared" si="21"/>
        <v>0</v>
      </c>
      <c r="J24" s="63"/>
      <c r="K24" s="61">
        <f>AL27+AL49+AL71</f>
        <v>77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66"/>
    </row>
    <row r="25" spans="2:72" ht="15" customHeight="1" x14ac:dyDescent="0.25">
      <c r="B25" s="112"/>
      <c r="C25" s="117" t="s">
        <v>89</v>
      </c>
      <c r="D25" s="61">
        <f>BR7</f>
        <v>26.160424236823108</v>
      </c>
      <c r="E25" s="61">
        <f>BR8</f>
        <v>1.4377061371841158</v>
      </c>
      <c r="F25" s="61">
        <f>BR9</f>
        <v>13.972416066064982</v>
      </c>
      <c r="G25" s="61">
        <f>BR10</f>
        <v>3.012048134296029</v>
      </c>
      <c r="H25" s="61">
        <f>BR11</f>
        <v>5.7435110891696759</v>
      </c>
      <c r="I25" s="61">
        <f>BR12</f>
        <v>0</v>
      </c>
      <c r="J25" s="63"/>
      <c r="K25" s="76">
        <f>'Conduite Trp'!C7</f>
        <v>110.6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66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66"/>
    </row>
    <row r="27" spans="2:72" ht="15" customHeight="1" x14ac:dyDescent="0.25">
      <c r="B27" s="112"/>
      <c r="C27" s="117" t="s">
        <v>90</v>
      </c>
      <c r="D27" s="93">
        <f t="shared" ref="D27:I27" si="23">D24-D25</f>
        <v>0.83957576317689231</v>
      </c>
      <c r="E27" s="93">
        <f t="shared" si="23"/>
        <v>0.81229386281588423</v>
      </c>
      <c r="F27" s="93">
        <f t="shared" si="23"/>
        <v>3.4775839339350174</v>
      </c>
      <c r="G27" s="93">
        <f t="shared" si="23"/>
        <v>-0.86204813429602911</v>
      </c>
      <c r="H27" s="93">
        <f t="shared" si="23"/>
        <v>4.2564889108303241</v>
      </c>
      <c r="I27" s="93">
        <f t="shared" si="23"/>
        <v>0</v>
      </c>
      <c r="J27" s="63"/>
      <c r="K27" s="93">
        <f>K24-K25</f>
        <v>-33.599999999999994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27</v>
      </c>
      <c r="AF27" s="75">
        <f t="shared" ref="AF27:AJ27" si="24">SUM(AF7:AF26)</f>
        <v>2.25</v>
      </c>
      <c r="AG27" s="75">
        <f t="shared" si="24"/>
        <v>17.45</v>
      </c>
      <c r="AH27" s="75">
        <f t="shared" si="24"/>
        <v>2.15</v>
      </c>
      <c r="AI27" s="75">
        <f t="shared" si="24"/>
        <v>10</v>
      </c>
      <c r="AJ27" s="75">
        <f t="shared" si="24"/>
        <v>0</v>
      </c>
      <c r="AK27"/>
      <c r="AL27" s="75">
        <f>SUM(AL7:AL26)</f>
        <v>52.5</v>
      </c>
      <c r="AQ27" s="32" t="s">
        <v>1438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66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8"/>
      <c r="T28" s="138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  <c r="BS28" s="166"/>
    </row>
    <row r="29" spans="2:72" ht="15" customHeight="1" thickBot="1" x14ac:dyDescent="0.3">
      <c r="B29" s="149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2.5</v>
      </c>
      <c r="P29">
        <v>1</v>
      </c>
      <c r="Q29" s="274">
        <v>277</v>
      </c>
      <c r="R29" s="39">
        <v>2.5</v>
      </c>
      <c r="S29" s="76" t="str">
        <f>VLOOKUP($Q29,[1]MEP!$A$5:$D$300,3)</f>
        <v>PP EXCELLENTE 3 COUPES ENRUB</v>
      </c>
      <c r="T29" s="76" t="str">
        <f>VLOOKUP($Q29,[1]MEP!$A$5:$D$300,4)</f>
        <v>Zone 2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9.8000000000000007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24.5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  <c r="BS29" s="166"/>
    </row>
    <row r="30" spans="2:72" ht="15" customHeight="1" x14ac:dyDescent="0.25">
      <c r="N30" s="17" t="s">
        <v>87</v>
      </c>
      <c r="O30" s="42">
        <f>SUM(R29:R48)</f>
        <v>2.5</v>
      </c>
      <c r="P30">
        <v>2</v>
      </c>
      <c r="Q30" s="274"/>
      <c r="R30" s="274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  <c r="BS30" s="166"/>
    </row>
    <row r="31" spans="2:72" ht="15" customHeight="1" x14ac:dyDescent="0.25">
      <c r="D31" s="43" t="s">
        <v>310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  <c r="BS31" s="166"/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86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1.3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3.9000000000000004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1439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7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7"/>
      <c r="AP40" s="167"/>
      <c r="AQ40" s="167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422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S49" s="138"/>
      <c r="T49" s="138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24.5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8"/>
      <c r="T50" s="138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1.3</v>
      </c>
      <c r="P51">
        <v>1</v>
      </c>
      <c r="Q51" s="39">
        <v>47</v>
      </c>
      <c r="R51" s="39">
        <v>1.3</v>
      </c>
      <c r="S51" s="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87</v>
      </c>
      <c r="O52" s="42">
        <f>SUM(R51:R70)</f>
        <v>1.3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271" t="s">
        <v>1431</v>
      </c>
      <c r="C66" s="271"/>
      <c r="D66" s="271"/>
      <c r="E66" s="271"/>
      <c r="F66" s="271"/>
      <c r="G66" s="189" t="s">
        <v>1432</v>
      </c>
      <c r="H66" s="189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272" t="s">
        <v>1433</v>
      </c>
      <c r="C69" s="28"/>
      <c r="D69" s="114" t="s">
        <v>76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413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7" t="s">
        <v>412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88</v>
      </c>
      <c r="D72" s="61">
        <f>AE27</f>
        <v>27</v>
      </c>
      <c r="E72" s="61">
        <f t="shared" ref="E72:H72" si="69">AF27</f>
        <v>2.25</v>
      </c>
      <c r="F72" s="61">
        <f t="shared" si="69"/>
        <v>17.45</v>
      </c>
      <c r="G72" s="61">
        <f t="shared" si="69"/>
        <v>2.15</v>
      </c>
      <c r="H72" s="61">
        <f t="shared" si="69"/>
        <v>10</v>
      </c>
      <c r="I72" s="61">
        <f t="shared" ref="I72" si="70">AJ75+AJ97+AJ119</f>
        <v>0</v>
      </c>
      <c r="J72" s="63"/>
      <c r="K72" s="61">
        <f>+K24</f>
        <v>77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89</v>
      </c>
      <c r="D73" s="61">
        <f>BR19</f>
        <v>26.160424236823108</v>
      </c>
      <c r="E73" s="61">
        <f>BR20</f>
        <v>1.4377061371841158</v>
      </c>
      <c r="F73" s="61">
        <f>BR21</f>
        <v>13.972416066064982</v>
      </c>
      <c r="G73" s="61">
        <f>BR22</f>
        <v>3.012048134296029</v>
      </c>
      <c r="H73" s="61">
        <f>BR23</f>
        <v>5.7435110891696759</v>
      </c>
      <c r="I73" s="61">
        <f>BR60</f>
        <v>0</v>
      </c>
      <c r="J73" s="63"/>
      <c r="K73" s="76">
        <f>+K25</f>
        <v>110.6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90</v>
      </c>
      <c r="D75" s="93">
        <f>D72-D73</f>
        <v>0.83957576317689231</v>
      </c>
      <c r="E75" s="93">
        <f t="shared" ref="E75:I75" si="71">E72-E73</f>
        <v>0.81229386281588423</v>
      </c>
      <c r="F75" s="93">
        <f t="shared" si="71"/>
        <v>3.4775839339350174</v>
      </c>
      <c r="G75" s="93">
        <f t="shared" si="71"/>
        <v>-0.86204813429602911</v>
      </c>
      <c r="H75" s="93">
        <f t="shared" si="71"/>
        <v>4.2564889108303241</v>
      </c>
      <c r="I75" s="93">
        <f t="shared" si="71"/>
        <v>0</v>
      </c>
      <c r="J75" s="63"/>
      <c r="K75" s="93">
        <f>+K27</f>
        <v>-33.599999999999994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272"/>
      <c r="AK78"/>
      <c r="AN78" s="32"/>
      <c r="AT78" s="5"/>
      <c r="AU78" s="5"/>
      <c r="BS78"/>
      <c r="BU78" s="82"/>
    </row>
    <row r="79" spans="2:73" x14ac:dyDescent="0.25">
      <c r="B79" s="272" t="s">
        <v>1434</v>
      </c>
      <c r="C79" s="28"/>
      <c r="D79" s="114" t="s">
        <v>76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88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89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90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1433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272" t="s">
        <v>1435</v>
      </c>
      <c r="C89" s="28"/>
      <c r="D89" s="114" t="s">
        <v>76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88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89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90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9" sqref="G1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4" t="s">
        <v>1472</v>
      </c>
      <c r="B3" s="284" t="s">
        <v>1468</v>
      </c>
    </row>
    <row r="4" spans="1:5" x14ac:dyDescent="0.25">
      <c r="A4" s="284" t="s">
        <v>1471</v>
      </c>
      <c r="B4" t="s">
        <v>486</v>
      </c>
      <c r="C4" t="s">
        <v>452</v>
      </c>
      <c r="D4" t="s">
        <v>1469</v>
      </c>
      <c r="E4" t="s">
        <v>1470</v>
      </c>
    </row>
    <row r="5" spans="1:5" x14ac:dyDescent="0.25">
      <c r="A5" s="15">
        <v>47</v>
      </c>
      <c r="B5" s="285"/>
      <c r="C5" s="285">
        <v>1.3</v>
      </c>
      <c r="D5" s="285"/>
      <c r="E5" s="285">
        <v>1.3</v>
      </c>
    </row>
    <row r="6" spans="1:5" x14ac:dyDescent="0.25">
      <c r="A6" s="15">
        <v>215</v>
      </c>
      <c r="B6" s="285"/>
      <c r="C6" s="285">
        <v>0</v>
      </c>
      <c r="D6" s="285"/>
      <c r="E6" s="285">
        <v>0</v>
      </c>
    </row>
    <row r="7" spans="1:5" x14ac:dyDescent="0.25">
      <c r="A7" s="15">
        <v>277</v>
      </c>
      <c r="B7" s="285">
        <v>2.5</v>
      </c>
      <c r="C7" s="285"/>
      <c r="D7" s="285"/>
      <c r="E7" s="285">
        <v>2.5</v>
      </c>
    </row>
    <row r="8" spans="1:5" x14ac:dyDescent="0.25">
      <c r="A8" s="15">
        <v>285</v>
      </c>
      <c r="B8" s="285"/>
      <c r="C8" s="285">
        <v>1.5</v>
      </c>
      <c r="D8" s="285"/>
      <c r="E8" s="285">
        <v>1.5</v>
      </c>
    </row>
    <row r="9" spans="1:5" x14ac:dyDescent="0.25">
      <c r="A9" s="15">
        <v>286</v>
      </c>
      <c r="B9" s="285"/>
      <c r="C9" s="285">
        <v>5</v>
      </c>
      <c r="D9" s="285"/>
      <c r="E9" s="285">
        <v>5</v>
      </c>
    </row>
    <row r="10" spans="1:5" x14ac:dyDescent="0.25">
      <c r="A10" s="15" t="s">
        <v>1469</v>
      </c>
      <c r="B10" s="285"/>
      <c r="C10" s="285"/>
      <c r="D10" s="285"/>
      <c r="E10" s="285"/>
    </row>
    <row r="11" spans="1:5" x14ac:dyDescent="0.25">
      <c r="A11" s="15">
        <v>279</v>
      </c>
      <c r="B11" s="285"/>
      <c r="C11" s="285">
        <v>4</v>
      </c>
      <c r="D11" s="285"/>
      <c r="E11" s="285">
        <v>4</v>
      </c>
    </row>
    <row r="12" spans="1:5" x14ac:dyDescent="0.25">
      <c r="A12" s="15">
        <v>292</v>
      </c>
      <c r="B12" s="285"/>
      <c r="C12" s="285">
        <v>4</v>
      </c>
      <c r="D12" s="285"/>
      <c r="E12" s="285">
        <v>4</v>
      </c>
    </row>
    <row r="13" spans="1:5" x14ac:dyDescent="0.25">
      <c r="A13" s="15" t="s">
        <v>1470</v>
      </c>
      <c r="B13" s="285">
        <v>2.5</v>
      </c>
      <c r="C13" s="285">
        <v>15.8</v>
      </c>
      <c r="D13" s="285"/>
      <c r="E13" s="285">
        <v>18.3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selection activeCell="B16" sqref="B16"/>
    </sheetView>
  </sheetViews>
  <sheetFormatPr baseColWidth="10" defaultRowHeight="15" x14ac:dyDescent="0.25"/>
  <cols>
    <col min="5" max="5" width="17.5703125" customWidth="1"/>
    <col min="6" max="6" width="12.28515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450</v>
      </c>
      <c r="E1" s="6" t="s">
        <v>451</v>
      </c>
      <c r="F1" s="6" t="s">
        <v>74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44</v>
      </c>
      <c r="O1" s="25" t="s">
        <v>330</v>
      </c>
      <c r="P1" s="25" t="s">
        <v>331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2</v>
      </c>
      <c r="F2" s="275">
        <v>279</v>
      </c>
      <c r="G2" s="9">
        <v>2.2000000000000002</v>
      </c>
      <c r="H2" s="9">
        <v>3</v>
      </c>
      <c r="I2" s="9">
        <v>0</v>
      </c>
      <c r="J2" s="8">
        <f>IF(B2=2,0,IF(H2=$X$10,G2*$AA$10,IF(H2=$X$11,G2*$AA$11,IF(H2=$X$12,G2*$AA$12,""))))</f>
        <v>2.4200000000000004</v>
      </c>
      <c r="K2" s="8">
        <f t="shared" ref="K2:K35" si="0">IF(I2=$X$5,J2*$Z$5,IF(I2=$X$6,J2*$Z$6,IF(I2=$X$7,J2*$Z$7,"")))</f>
        <v>2.4200000000000004</v>
      </c>
      <c r="L2" s="10">
        <f>IF(H2=$X$10,SQRT(K2*10000),SQRT(Parcellaire!K2*10000)/$AB$11)</f>
        <v>110</v>
      </c>
      <c r="M2" s="10">
        <f>IF(H2=1,4,6)</f>
        <v>6</v>
      </c>
      <c r="N2" s="24">
        <v>6</v>
      </c>
      <c r="O2" s="26"/>
      <c r="P2" s="154">
        <v>3</v>
      </c>
      <c r="Q2" s="10">
        <f>IF(C2=1,N2*L2,0)</f>
        <v>0</v>
      </c>
      <c r="R2" s="10">
        <f>IF(C2=1,O2*L2,0)</f>
        <v>0</v>
      </c>
      <c r="S2" s="10">
        <f>(L2*N2)-(L2*P2)/2</f>
        <v>495</v>
      </c>
      <c r="T2" s="10">
        <f>IF(C2=2,P2*L2,0)</f>
        <v>330</v>
      </c>
      <c r="U2" s="27">
        <f>N2*L2</f>
        <v>660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5"/>
      <c r="G3" s="9"/>
      <c r="H3" s="9"/>
      <c r="I3" s="9"/>
      <c r="J3" s="8" t="str">
        <f t="shared" ref="J3:J15" si="1">IF(B3=2,0,IF(H3=$X$10,G3*$AA$10,IF(H3=$X$11,G3*$AA$11,IF(H3=$X$12,G3*$AA$12,""))))</f>
        <v/>
      </c>
      <c r="K3" s="8" t="e">
        <f t="shared" ref="K3:K1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15" si="3">IF(H3=1,4,6)</f>
        <v>6</v>
      </c>
      <c r="N3" s="24">
        <v>6</v>
      </c>
      <c r="O3" s="26"/>
      <c r="P3" s="154">
        <v>1</v>
      </c>
      <c r="Q3" s="10">
        <f t="shared" ref="Q3:Q35" si="4">IF(C3=1,N3*L3,0)</f>
        <v>0</v>
      </c>
      <c r="R3" s="10">
        <f t="shared" ref="R3:R35" si="5">IF(C3=1,O3*L3,0)</f>
        <v>0</v>
      </c>
      <c r="S3" s="10" t="e">
        <f t="shared" ref="S3:S61" si="6">(L3*N3)-(L3*P3)/2</f>
        <v>#VALUE!</v>
      </c>
      <c r="T3" s="10">
        <f t="shared" ref="T3:T35" si="7">IF(C3=2,P3*L3,0)</f>
        <v>0</v>
      </c>
      <c r="U3" s="27" t="e">
        <f t="shared" ref="U3:U35" si="8">N3*L3</f>
        <v>#VALUE!</v>
      </c>
      <c r="V3" s="3"/>
      <c r="W3" s="3"/>
    </row>
    <row r="4" spans="1:28" ht="15" customHeight="1" x14ac:dyDescent="0.25">
      <c r="A4" s="8">
        <v>3</v>
      </c>
      <c r="B4" s="9"/>
      <c r="C4" s="9"/>
      <c r="D4" s="9"/>
      <c r="E4" s="9"/>
      <c r="F4" s="275"/>
      <c r="G4" s="9"/>
      <c r="H4" s="9"/>
      <c r="I4" s="9"/>
      <c r="J4" s="8" t="str">
        <f t="shared" si="1"/>
        <v/>
      </c>
      <c r="K4" s="8" t="e">
        <f t="shared" si="2"/>
        <v>#VALUE!</v>
      </c>
      <c r="L4" s="10" t="e">
        <f>IF(H4=$X$10,SQRT(K4*10000),SQRT(Parcellaire!K4*10000)/$AB$11)</f>
        <v>#VALUE!</v>
      </c>
      <c r="M4" s="10">
        <f t="shared" si="3"/>
        <v>6</v>
      </c>
      <c r="N4" s="24">
        <v>6</v>
      </c>
      <c r="O4" s="26"/>
      <c r="P4" s="154">
        <v>1</v>
      </c>
      <c r="Q4" s="10">
        <f t="shared" si="4"/>
        <v>0</v>
      </c>
      <c r="R4" s="10">
        <f t="shared" si="5"/>
        <v>0</v>
      </c>
      <c r="S4" s="10" t="e">
        <f t="shared" si="6"/>
        <v>#VALUE!</v>
      </c>
      <c r="T4" s="10">
        <f>IF(C4=2,P4*L4,0)</f>
        <v>0</v>
      </c>
      <c r="U4" s="27" t="e">
        <f t="shared" si="8"/>
        <v>#VALUE!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452</v>
      </c>
      <c r="E5" s="9">
        <v>2</v>
      </c>
      <c r="F5" s="275">
        <v>286</v>
      </c>
      <c r="G5" s="9">
        <v>5</v>
      </c>
      <c r="H5" s="9">
        <v>3</v>
      </c>
      <c r="I5" s="9">
        <v>0.5</v>
      </c>
      <c r="J5" s="8">
        <f t="shared" si="1"/>
        <v>5.5</v>
      </c>
      <c r="K5" s="8">
        <f t="shared" si="2"/>
        <v>6.0500000000000007</v>
      </c>
      <c r="L5" s="10">
        <f>IF(H5=$X$10,SQRT(K5*10000),SQRT(Parcellaire!K5*10000)/$AB$11)</f>
        <v>173.92527130926086</v>
      </c>
      <c r="M5" s="10">
        <f t="shared" si="3"/>
        <v>6</v>
      </c>
      <c r="N5" s="24">
        <v>6</v>
      </c>
      <c r="O5" s="26"/>
      <c r="P5" s="154">
        <v>1</v>
      </c>
      <c r="Q5" s="10">
        <f t="shared" si="4"/>
        <v>0</v>
      </c>
      <c r="R5" s="10">
        <f t="shared" si="5"/>
        <v>0</v>
      </c>
      <c r="S5" s="10">
        <f t="shared" si="6"/>
        <v>956.58899220093474</v>
      </c>
      <c r="T5" s="10">
        <f t="shared" si="7"/>
        <v>173.92527130926086</v>
      </c>
      <c r="U5" s="27">
        <f t="shared" si="8"/>
        <v>1043.5516278555651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>
        <v>2</v>
      </c>
      <c r="F6" s="275">
        <v>285</v>
      </c>
      <c r="G6" s="9">
        <v>1.5</v>
      </c>
      <c r="H6" s="9">
        <v>3</v>
      </c>
      <c r="I6" s="9">
        <v>1</v>
      </c>
      <c r="J6" s="8">
        <f t="shared" si="1"/>
        <v>1.6500000000000001</v>
      </c>
      <c r="K6" s="8">
        <f t="shared" si="2"/>
        <v>1.98</v>
      </c>
      <c r="L6" s="10">
        <f>IF(H6=$X$10,SQRT(K6*10000),SQRT(Parcellaire!K6*10000)/$AB$11)</f>
        <v>99.498743710661984</v>
      </c>
      <c r="M6" s="10">
        <f t="shared" si="3"/>
        <v>6</v>
      </c>
      <c r="N6" s="24">
        <v>6</v>
      </c>
      <c r="O6" s="26"/>
      <c r="P6" s="154">
        <v>4</v>
      </c>
      <c r="Q6" s="10">
        <f t="shared" si="4"/>
        <v>0</v>
      </c>
      <c r="R6" s="10">
        <f t="shared" si="5"/>
        <v>0</v>
      </c>
      <c r="S6" s="10">
        <f t="shared" si="6"/>
        <v>397.99497484264793</v>
      </c>
      <c r="T6" s="10">
        <f t="shared" si="7"/>
        <v>397.99497484264793</v>
      </c>
      <c r="U6" s="27">
        <f t="shared" si="8"/>
        <v>596.9924622639719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>
        <v>2</v>
      </c>
      <c r="F7" s="275">
        <v>279</v>
      </c>
      <c r="G7" s="9">
        <v>1.8</v>
      </c>
      <c r="H7" s="9">
        <v>3</v>
      </c>
      <c r="I7" s="9">
        <v>0</v>
      </c>
      <c r="J7" s="8">
        <f t="shared" si="1"/>
        <v>1.9800000000000002</v>
      </c>
      <c r="K7" s="8">
        <f t="shared" si="2"/>
        <v>1.9800000000000002</v>
      </c>
      <c r="L7" s="10">
        <f>IF(H7=$X$10,SQRT(K7*10000),SQRT(Parcellaire!K7*10000)/$AB$11)</f>
        <v>99.498743710661998</v>
      </c>
      <c r="M7" s="10">
        <f t="shared" si="3"/>
        <v>6</v>
      </c>
      <c r="N7" s="24">
        <v>6</v>
      </c>
      <c r="O7" s="26"/>
      <c r="P7" s="154">
        <v>4</v>
      </c>
      <c r="Q7" s="10">
        <f>IF(C7=1,N7*L7,0)</f>
        <v>0</v>
      </c>
      <c r="R7" s="10">
        <f t="shared" si="5"/>
        <v>0</v>
      </c>
      <c r="S7" s="10">
        <f t="shared" si="6"/>
        <v>397.99497484264805</v>
      </c>
      <c r="T7" s="10">
        <f t="shared" si="7"/>
        <v>397.99497484264799</v>
      </c>
      <c r="U7" s="27">
        <f t="shared" si="8"/>
        <v>596.99246226397202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275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4">
        <v>4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0</v>
      </c>
      <c r="D9" s="9" t="s">
        <v>452</v>
      </c>
      <c r="E9" s="9" t="s">
        <v>448</v>
      </c>
      <c r="F9" s="9">
        <v>47</v>
      </c>
      <c r="G9" s="9">
        <v>1.3</v>
      </c>
      <c r="H9" s="9">
        <v>1</v>
      </c>
      <c r="I9" s="9">
        <v>1</v>
      </c>
      <c r="J9" s="8">
        <f t="shared" si="1"/>
        <v>0</v>
      </c>
      <c r="K9" s="8">
        <f t="shared" si="2"/>
        <v>0</v>
      </c>
      <c r="L9" s="10">
        <f>IF(H9=$X$10,SQRT(K9*10000),SQRT(Parcellaire!K9*10000)/$AB$11)</f>
        <v>0</v>
      </c>
      <c r="M9" s="10">
        <f t="shared" si="3"/>
        <v>4</v>
      </c>
      <c r="N9" s="24">
        <v>4</v>
      </c>
      <c r="O9" s="26"/>
      <c r="P9" s="154">
        <v>4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>
        <v>2</v>
      </c>
      <c r="F10" s="275">
        <v>292</v>
      </c>
      <c r="G10" s="9">
        <v>1.3</v>
      </c>
      <c r="H10" s="9">
        <v>3</v>
      </c>
      <c r="I10" s="9">
        <v>0.5</v>
      </c>
      <c r="J10" s="8">
        <f t="shared" si="1"/>
        <v>1.4300000000000002</v>
      </c>
      <c r="K10" s="8">
        <f t="shared" si="2"/>
        <v>1.5730000000000004</v>
      </c>
      <c r="L10" s="10">
        <f>IF(H10=$X$10,SQRT(K10*10000),SQRT(Parcellaire!K10*10000)/$AB$11)</f>
        <v>88.684835231284055</v>
      </c>
      <c r="M10" s="10">
        <f t="shared" si="3"/>
        <v>6</v>
      </c>
      <c r="N10" s="24">
        <v>6</v>
      </c>
      <c r="O10" s="26"/>
      <c r="P10" s="154">
        <v>4</v>
      </c>
      <c r="Q10" s="10">
        <f t="shared" si="4"/>
        <v>0</v>
      </c>
      <c r="R10" s="10">
        <f t="shared" si="5"/>
        <v>0</v>
      </c>
      <c r="S10" s="10">
        <f t="shared" si="6"/>
        <v>354.73934092513616</v>
      </c>
      <c r="T10" s="10">
        <f t="shared" si="7"/>
        <v>354.73934092513622</v>
      </c>
      <c r="U10" s="27">
        <f t="shared" si="8"/>
        <v>532.1090113877043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>
        <v>2</v>
      </c>
      <c r="F11" s="275">
        <v>292</v>
      </c>
      <c r="G11" s="9">
        <v>2.7</v>
      </c>
      <c r="H11" s="9">
        <v>3</v>
      </c>
      <c r="I11" s="9">
        <v>0.5</v>
      </c>
      <c r="J11" s="8">
        <f t="shared" si="1"/>
        <v>2.9700000000000006</v>
      </c>
      <c r="K11" s="8">
        <f t="shared" si="2"/>
        <v>3.2670000000000008</v>
      </c>
      <c r="L11" s="10">
        <f>IF(H11=$X$10,SQRT(K11*10000),SQRT(Parcellaire!K11*10000)/$AB$11)</f>
        <v>127.80845042484476</v>
      </c>
      <c r="M11" s="10">
        <f t="shared" si="3"/>
        <v>6</v>
      </c>
      <c r="N11" s="24">
        <v>6</v>
      </c>
      <c r="O11" s="26"/>
      <c r="P11" s="154">
        <v>0</v>
      </c>
      <c r="Q11" s="10">
        <f t="shared" si="4"/>
        <v>0</v>
      </c>
      <c r="R11" s="10">
        <f t="shared" si="5"/>
        <v>0</v>
      </c>
      <c r="S11" s="10">
        <f t="shared" si="6"/>
        <v>766.85070254906861</v>
      </c>
      <c r="T11" s="10">
        <f t="shared" si="7"/>
        <v>0</v>
      </c>
      <c r="U11" s="27">
        <f t="shared" si="8"/>
        <v>766.85070254906861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4">
        <v>4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4">
        <v>2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16</v>
      </c>
      <c r="B14" s="9"/>
      <c r="C14" s="9"/>
      <c r="D14" s="9"/>
      <c r="E14" s="9"/>
      <c r="F14" s="9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6</v>
      </c>
      <c r="O14" s="26"/>
      <c r="P14" s="154">
        <v>5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2</v>
      </c>
      <c r="C15" s="9">
        <v>2</v>
      </c>
      <c r="D15" s="9" t="s">
        <v>486</v>
      </c>
      <c r="E15" s="9">
        <v>2</v>
      </c>
      <c r="F15" s="275">
        <v>277</v>
      </c>
      <c r="G15" s="9">
        <v>2.5</v>
      </c>
      <c r="H15" s="9">
        <v>3</v>
      </c>
      <c r="I15" s="9">
        <v>0</v>
      </c>
      <c r="J15" s="8">
        <f t="shared" si="1"/>
        <v>0</v>
      </c>
      <c r="K15" s="8">
        <f t="shared" si="2"/>
        <v>0</v>
      </c>
      <c r="L15" s="10">
        <f>IF(H15=$X$10,SQRT(K15*10000),SQRT(Parcellaire!K15*10000)/$AB$11)</f>
        <v>0</v>
      </c>
      <c r="M15" s="10">
        <f t="shared" si="3"/>
        <v>6</v>
      </c>
      <c r="N15" s="24">
        <v>6</v>
      </c>
      <c r="O15" s="26"/>
      <c r="P15" s="154">
        <v>1</v>
      </c>
      <c r="Q15" s="10">
        <f t="shared" si="4"/>
        <v>0</v>
      </c>
      <c r="R15" s="10">
        <f t="shared" si="5"/>
        <v>0</v>
      </c>
      <c r="S15" s="10">
        <f t="shared" si="6"/>
        <v>0</v>
      </c>
      <c r="T15" s="10">
        <f t="shared" si="7"/>
        <v>0</v>
      </c>
      <c r="U15" s="27">
        <f t="shared" si="8"/>
        <v>0</v>
      </c>
      <c r="V15" s="3"/>
      <c r="W15" s="3"/>
      <c r="Y15" s="8" t="s">
        <v>41</v>
      </c>
    </row>
    <row r="16" spans="1:28" ht="1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8" t="str">
        <f t="shared" ref="J16:J35" si="9">IF(H16=$X$10,G16*$AA$10,IF(H16=$X$11,G16*$AA$11,IF(H16=$X$12,G16*$AA$12,"")))</f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ref="M16:M35" si="10">IF(H16=1,4,6)</f>
        <v>6</v>
      </c>
      <c r="N16" s="24"/>
      <c r="O16" s="26"/>
      <c r="P16" s="154">
        <f t="shared" ref="P16:P61" si="11">N16-O16</f>
        <v>0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3</v>
      </c>
      <c r="Y16" s="137" t="s">
        <v>333</v>
      </c>
      <c r="Z16" s="135">
        <f>R62</f>
        <v>0</v>
      </c>
      <c r="AA16" t="s">
        <v>42</v>
      </c>
    </row>
    <row r="17" spans="1:27" ht="15" customHeight="1" x14ac:dyDescent="0.25">
      <c r="A17" s="8">
        <v>18</v>
      </c>
      <c r="B17" s="9"/>
      <c r="C17" s="9"/>
      <c r="D17" s="9"/>
      <c r="E17" s="9"/>
      <c r="F17" s="9"/>
      <c r="G17" s="9"/>
      <c r="H17" s="9"/>
      <c r="I17" s="9"/>
      <c r="J17" s="8" t="str">
        <f t="shared" si="9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10"/>
        <v>6</v>
      </c>
      <c r="N17" s="24"/>
      <c r="O17" s="26"/>
      <c r="P17" s="154">
        <f t="shared" si="11"/>
        <v>0</v>
      </c>
      <c r="Q17" s="10">
        <f t="shared" si="4"/>
        <v>0</v>
      </c>
      <c r="R17" s="10">
        <f t="shared" si="5"/>
        <v>0</v>
      </c>
      <c r="S17" s="10" t="e">
        <f t="shared" si="6"/>
        <v>#VALUE!</v>
      </c>
      <c r="T17" s="10">
        <f t="shared" si="7"/>
        <v>0</v>
      </c>
      <c r="U17" s="27" t="e">
        <f t="shared" si="8"/>
        <v>#VALUE!</v>
      </c>
      <c r="V17" s="3"/>
      <c r="W17" s="3"/>
      <c r="Y17" s="20"/>
      <c r="Z17" s="135" t="e">
        <f>#REF!+Z16</f>
        <v>#REF!</v>
      </c>
      <c r="AA17" t="s">
        <v>43</v>
      </c>
    </row>
    <row r="18" spans="1:27" ht="1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8" t="str">
        <f t="shared" si="9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10"/>
        <v>6</v>
      </c>
      <c r="N18" s="24"/>
      <c r="O18" s="26"/>
      <c r="P18" s="154">
        <f t="shared" si="11"/>
        <v>0</v>
      </c>
      <c r="Q18" s="10">
        <f t="shared" si="4"/>
        <v>0</v>
      </c>
      <c r="R18" s="10">
        <f t="shared" si="5"/>
        <v>0</v>
      </c>
      <c r="S18" s="10" t="e">
        <f t="shared" si="6"/>
        <v>#VALUE!</v>
      </c>
      <c r="T18" s="10">
        <f t="shared" si="7"/>
        <v>0</v>
      </c>
      <c r="U18" s="27" t="e">
        <f t="shared" si="8"/>
        <v>#VALUE!</v>
      </c>
      <c r="V18" s="3"/>
      <c r="W18" s="3"/>
      <c r="Y18" s="20"/>
    </row>
    <row r="19" spans="1:27" ht="15" customHeight="1" x14ac:dyDescent="0.25">
      <c r="A19" s="8">
        <v>20</v>
      </c>
      <c r="B19" s="9"/>
      <c r="C19" s="9"/>
      <c r="D19" s="9"/>
      <c r="E19" s="9"/>
      <c r="F19" s="9"/>
      <c r="G19" s="9"/>
      <c r="H19" s="9"/>
      <c r="I19" s="9"/>
      <c r="J19" s="8" t="str">
        <f t="shared" si="9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10"/>
        <v>6</v>
      </c>
      <c r="N19" s="24"/>
      <c r="O19" s="26"/>
      <c r="P19" s="154">
        <f t="shared" si="11"/>
        <v>0</v>
      </c>
      <c r="Q19" s="10">
        <f t="shared" si="4"/>
        <v>0</v>
      </c>
      <c r="R19" s="10">
        <f t="shared" si="5"/>
        <v>0</v>
      </c>
      <c r="S19" s="10" t="e">
        <f t="shared" si="6"/>
        <v>#VALUE!</v>
      </c>
      <c r="T19" s="10">
        <f t="shared" si="7"/>
        <v>0</v>
      </c>
      <c r="U19" s="27" t="e">
        <f t="shared" si="8"/>
        <v>#VALUE!</v>
      </c>
      <c r="V19" s="3"/>
      <c r="W19" s="3"/>
    </row>
    <row r="20" spans="1:27" ht="15" customHeight="1" x14ac:dyDescent="0.25">
      <c r="A20" s="8">
        <v>21</v>
      </c>
      <c r="B20" s="9"/>
      <c r="C20" s="9"/>
      <c r="D20" s="9"/>
      <c r="E20" s="9"/>
      <c r="F20" s="9"/>
      <c r="G20" s="9"/>
      <c r="H20" s="9"/>
      <c r="I20" s="9"/>
      <c r="J20" s="8" t="str">
        <f t="shared" si="9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/>
      <c r="O20" s="26"/>
      <c r="P20" s="154">
        <f t="shared" si="11"/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t="s">
        <v>322</v>
      </c>
    </row>
    <row r="21" spans="1:27" ht="15" customHeight="1" x14ac:dyDescent="0.25">
      <c r="A21" s="8">
        <v>22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4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  <c r="X21" s="133">
        <v>0</v>
      </c>
      <c r="Y21" t="s">
        <v>323</v>
      </c>
    </row>
    <row r="22" spans="1:27" ht="15" customHeight="1" x14ac:dyDescent="0.25">
      <c r="A22" s="8">
        <v>23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4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X22" s="133">
        <v>1</v>
      </c>
      <c r="Y22" t="s">
        <v>484</v>
      </c>
    </row>
    <row r="23" spans="1:27" ht="15" customHeight="1" x14ac:dyDescent="0.25">
      <c r="A23" s="8">
        <v>24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4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>
        <v>2</v>
      </c>
      <c r="Y23" t="s">
        <v>485</v>
      </c>
    </row>
    <row r="24" spans="1:27" ht="15" customHeight="1" x14ac:dyDescent="0.25">
      <c r="A24" s="8">
        <v>25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4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Y24" t="s">
        <v>17</v>
      </c>
    </row>
    <row r="25" spans="1:27" ht="15" customHeight="1" x14ac:dyDescent="0.25">
      <c r="A25" s="8">
        <v>26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4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0</v>
      </c>
      <c r="Y25" t="s">
        <v>334</v>
      </c>
    </row>
    <row r="26" spans="1:27" ht="15" customHeight="1" x14ac:dyDescent="0.25">
      <c r="A26" s="8">
        <v>27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4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X26">
        <v>1</v>
      </c>
      <c r="Y26" t="s">
        <v>335</v>
      </c>
    </row>
    <row r="27" spans="1:27" ht="15" customHeight="1" x14ac:dyDescent="0.25">
      <c r="A27" s="8">
        <v>28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4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2</v>
      </c>
      <c r="Y27" t="s">
        <v>336</v>
      </c>
    </row>
    <row r="28" spans="1:27" ht="15" customHeight="1" x14ac:dyDescent="0.25">
      <c r="A28" s="8">
        <v>29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4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3</v>
      </c>
      <c r="Y28" t="s">
        <v>337</v>
      </c>
    </row>
    <row r="29" spans="1:27" ht="15" customHeight="1" x14ac:dyDescent="0.25">
      <c r="A29" s="8">
        <v>30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4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4</v>
      </c>
      <c r="Y29" t="s">
        <v>338</v>
      </c>
    </row>
    <row r="30" spans="1:27" ht="15" customHeight="1" x14ac:dyDescent="0.25">
      <c r="A30" s="8">
        <v>31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4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 t="s">
        <v>340</v>
      </c>
      <c r="Y30" t="s">
        <v>339</v>
      </c>
    </row>
    <row r="31" spans="1:27" ht="15" customHeight="1" x14ac:dyDescent="0.25">
      <c r="A31" s="8">
        <v>32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4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 t="s">
        <v>342</v>
      </c>
      <c r="Y31" t="s">
        <v>341</v>
      </c>
    </row>
    <row r="32" spans="1:27" ht="15" customHeight="1" x14ac:dyDescent="0.25">
      <c r="A32" s="8">
        <v>33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4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>
        <v>6</v>
      </c>
      <c r="Y32" t="s">
        <v>343</v>
      </c>
    </row>
    <row r="33" spans="1:25" ht="15" customHeight="1" x14ac:dyDescent="0.25">
      <c r="A33" s="8">
        <v>34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4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>
        <v>7</v>
      </c>
      <c r="Y33" t="s">
        <v>344</v>
      </c>
    </row>
    <row r="34" spans="1:25" ht="15" customHeight="1" x14ac:dyDescent="0.25">
      <c r="A34" s="8">
        <v>35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4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 t="s">
        <v>346</v>
      </c>
      <c r="Y34" t="s">
        <v>345</v>
      </c>
    </row>
    <row r="35" spans="1:25" ht="15" customHeight="1" x14ac:dyDescent="0.25">
      <c r="A35" s="8">
        <v>36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4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 t="s">
        <v>348</v>
      </c>
      <c r="Y35" t="s">
        <v>347</v>
      </c>
    </row>
    <row r="36" spans="1:25" x14ac:dyDescent="0.25">
      <c r="A36" s="8">
        <v>37</v>
      </c>
      <c r="B36" s="9"/>
      <c r="C36" s="9"/>
      <c r="D36" s="9"/>
      <c r="E36" s="9"/>
      <c r="F36" s="9"/>
      <c r="G36" s="9"/>
      <c r="H36" s="9"/>
      <c r="I36" s="9"/>
      <c r="J36" s="8" t="str">
        <f t="shared" ref="J36:J55" si="12">IF(H36=$X$10,G36*$AA$10,IF(H36=$X$11,G36*$AA$11,IF(H36=$X$12,G36*$AA$12,"")))</f>
        <v/>
      </c>
      <c r="K36" s="8" t="e">
        <f t="shared" ref="K36:K55" si="13">IF(I36=$X$5,J36*$Z$5,IF(I36=$X$6,J36*$Z$6,IF(I36=$X$7,J36*$Z$7,"")))</f>
        <v>#VALUE!</v>
      </c>
      <c r="L36" s="10" t="e">
        <f>IF(H36=$X$10,SQRT(K36*10000),SQRT(Parcellaire!K36*10000)/$AB$11)</f>
        <v>#VALUE!</v>
      </c>
      <c r="M36" s="10">
        <f t="shared" ref="M36:M55" si="14">IF(H36=1,4,6)</f>
        <v>6</v>
      </c>
      <c r="N36" s="24"/>
      <c r="O36" s="26"/>
      <c r="P36" s="154">
        <f t="shared" si="11"/>
        <v>0</v>
      </c>
      <c r="Q36" s="10">
        <f t="shared" ref="Q36:Q55" si="15">IF(C36=1,N36*L36,0)</f>
        <v>0</v>
      </c>
      <c r="R36" s="10">
        <f t="shared" ref="R36:R55" si="16">IF(C36=1,O36*L36,0)</f>
        <v>0</v>
      </c>
      <c r="S36" s="10" t="e">
        <f t="shared" si="6"/>
        <v>#VALUE!</v>
      </c>
      <c r="T36" s="10">
        <f t="shared" ref="T36:T55" si="17">IF(C36=2,P36*L36,0)</f>
        <v>0</v>
      </c>
      <c r="U36" s="27" t="e">
        <f t="shared" ref="U36:U55" si="18">N36*L36</f>
        <v>#VALUE!</v>
      </c>
      <c r="X36" t="s">
        <v>349</v>
      </c>
      <c r="Y36" t="s">
        <v>350</v>
      </c>
    </row>
    <row r="37" spans="1:25" x14ac:dyDescent="0.25">
      <c r="A37" s="8">
        <v>38</v>
      </c>
      <c r="B37" s="9"/>
      <c r="C37" s="9"/>
      <c r="D37" s="9"/>
      <c r="E37" s="9"/>
      <c r="F37" s="9"/>
      <c r="G37" s="9"/>
      <c r="H37" s="9"/>
      <c r="I37" s="9"/>
      <c r="J37" s="8" t="str">
        <f t="shared" si="12"/>
        <v/>
      </c>
      <c r="K37" s="8" t="e">
        <f t="shared" si="13"/>
        <v>#VALUE!</v>
      </c>
      <c r="L37" s="10" t="e">
        <f>IF(H37=$X$10,SQRT(K37*10000),SQRT(Parcellaire!K37*10000)/$AB$11)</f>
        <v>#VALUE!</v>
      </c>
      <c r="M37" s="10">
        <f t="shared" si="14"/>
        <v>6</v>
      </c>
      <c r="N37" s="24"/>
      <c r="O37" s="26"/>
      <c r="P37" s="154">
        <f t="shared" si="11"/>
        <v>0</v>
      </c>
      <c r="Q37" s="10">
        <f t="shared" si="15"/>
        <v>0</v>
      </c>
      <c r="R37" s="10">
        <f t="shared" si="16"/>
        <v>0</v>
      </c>
      <c r="S37" s="10" t="e">
        <f t="shared" si="6"/>
        <v>#VALUE!</v>
      </c>
      <c r="T37" s="10">
        <f t="shared" si="17"/>
        <v>0</v>
      </c>
      <c r="U37" s="27" t="e">
        <f t="shared" si="18"/>
        <v>#VALUE!</v>
      </c>
    </row>
    <row r="38" spans="1:25" x14ac:dyDescent="0.25">
      <c r="A38" s="8">
        <v>39</v>
      </c>
      <c r="B38" s="9"/>
      <c r="C38" s="9"/>
      <c r="D38" s="9"/>
      <c r="E38" s="9"/>
      <c r="F38" s="9"/>
      <c r="G38" s="9"/>
      <c r="H38" s="9"/>
      <c r="I38" s="9"/>
      <c r="J38" s="8" t="str">
        <f t="shared" si="12"/>
        <v/>
      </c>
      <c r="K38" s="8" t="e">
        <f t="shared" si="13"/>
        <v>#VALUE!</v>
      </c>
      <c r="L38" s="10" t="e">
        <f>IF(H38=$X$10,SQRT(K38*10000),SQRT(Parcellaire!K38*10000)/$AB$11)</f>
        <v>#VALUE!</v>
      </c>
      <c r="M38" s="10">
        <f t="shared" si="14"/>
        <v>6</v>
      </c>
      <c r="N38" s="24"/>
      <c r="O38" s="26"/>
      <c r="P38" s="154">
        <f t="shared" si="11"/>
        <v>0</v>
      </c>
      <c r="Q38" s="10">
        <f t="shared" si="15"/>
        <v>0</v>
      </c>
      <c r="R38" s="10">
        <f t="shared" si="16"/>
        <v>0</v>
      </c>
      <c r="S38" s="10" t="e">
        <f t="shared" si="6"/>
        <v>#VALUE!</v>
      </c>
      <c r="T38" s="10">
        <f t="shared" si="17"/>
        <v>0</v>
      </c>
      <c r="U38" s="27" t="e">
        <f t="shared" si="18"/>
        <v>#VALUE!</v>
      </c>
    </row>
    <row r="39" spans="1:25" x14ac:dyDescent="0.25">
      <c r="A39" s="8">
        <v>40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4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41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4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42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4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43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4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44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4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45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4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46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4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47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4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48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4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49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4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50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4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51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4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52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4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53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4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54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4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55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4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56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4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57</v>
      </c>
      <c r="B56" s="9"/>
      <c r="C56" s="9"/>
      <c r="D56" s="9"/>
      <c r="E56" s="9"/>
      <c r="F56" s="9"/>
      <c r="G56" s="9"/>
      <c r="H56" s="9"/>
      <c r="I56" s="9"/>
      <c r="J56" s="8" t="str">
        <f t="shared" ref="J56:J61" si="19">IF(H56=$X$10,G56*$AA$10,IF(H56=$X$11,G56*$AA$11,IF(H56=$X$12,G56*$AA$12,"")))</f>
        <v/>
      </c>
      <c r="K56" s="8" t="e">
        <f t="shared" ref="K56:K61" si="20">IF(I56=$X$5,J56*$Z$5,IF(I56=$X$6,J56*$Z$6,IF(I56=$X$7,J56*$Z$7,"")))</f>
        <v>#VALUE!</v>
      </c>
      <c r="L56" s="10" t="e">
        <f>IF(H56=$X$10,SQRT(K56*10000),SQRT(Parcellaire!K56*10000)/$AB$11)</f>
        <v>#VALUE!</v>
      </c>
      <c r="M56" s="10">
        <f t="shared" ref="M56:M61" si="21">IF(H56=1,4,6)</f>
        <v>6</v>
      </c>
      <c r="N56" s="24"/>
      <c r="O56" s="26"/>
      <c r="P56" s="154">
        <f t="shared" si="11"/>
        <v>0</v>
      </c>
      <c r="Q56" s="10">
        <f t="shared" ref="Q56:Q61" si="22">IF(C56=1,N56*L56,0)</f>
        <v>0</v>
      </c>
      <c r="R56" s="10">
        <f t="shared" ref="R56:R61" si="23">IF(C56=1,O56*L56,0)</f>
        <v>0</v>
      </c>
      <c r="S56" s="10" t="e">
        <f t="shared" si="6"/>
        <v>#VALUE!</v>
      </c>
      <c r="T56" s="10">
        <f t="shared" ref="T56:T61" si="24">IF(C56=2,P56*L56,0)</f>
        <v>0</v>
      </c>
      <c r="U56" s="27" t="e">
        <f t="shared" ref="U56:U61" si="25">N56*L56</f>
        <v>#VALUE!</v>
      </c>
    </row>
    <row r="57" spans="1:21" x14ac:dyDescent="0.25">
      <c r="A57" s="8">
        <v>58</v>
      </c>
      <c r="B57" s="9"/>
      <c r="C57" s="9"/>
      <c r="D57" s="9"/>
      <c r="E57" s="9"/>
      <c r="F57" s="9"/>
      <c r="G57" s="9"/>
      <c r="H57" s="9"/>
      <c r="I57" s="9"/>
      <c r="J57" s="8" t="str">
        <f t="shared" si="19"/>
        <v/>
      </c>
      <c r="K57" s="8" t="e">
        <f t="shared" si="20"/>
        <v>#VALUE!</v>
      </c>
      <c r="L57" s="10" t="e">
        <f>IF(H57=$X$10,SQRT(K57*10000),SQRT(Parcellaire!K57*10000)/$AB$11)</f>
        <v>#VALUE!</v>
      </c>
      <c r="M57" s="10">
        <f t="shared" si="21"/>
        <v>6</v>
      </c>
      <c r="N57" s="24"/>
      <c r="O57" s="26"/>
      <c r="P57" s="154">
        <f t="shared" si="11"/>
        <v>0</v>
      </c>
      <c r="Q57" s="10">
        <f t="shared" si="22"/>
        <v>0</v>
      </c>
      <c r="R57" s="10">
        <f t="shared" si="23"/>
        <v>0</v>
      </c>
      <c r="S57" s="10" t="e">
        <f t="shared" si="6"/>
        <v>#VALUE!</v>
      </c>
      <c r="T57" s="10">
        <f t="shared" si="24"/>
        <v>0</v>
      </c>
      <c r="U57" s="27" t="e">
        <f t="shared" si="25"/>
        <v>#VALUE!</v>
      </c>
    </row>
    <row r="58" spans="1:21" x14ac:dyDescent="0.25">
      <c r="A58" s="8">
        <v>59</v>
      </c>
      <c r="B58" s="9"/>
      <c r="C58" s="9"/>
      <c r="D58" s="9"/>
      <c r="E58" s="9"/>
      <c r="F58" s="9"/>
      <c r="G58" s="9"/>
      <c r="H58" s="9"/>
      <c r="I58" s="9"/>
      <c r="J58" s="8" t="str">
        <f t="shared" si="19"/>
        <v/>
      </c>
      <c r="K58" s="8" t="e">
        <f t="shared" si="20"/>
        <v>#VALUE!</v>
      </c>
      <c r="L58" s="10" t="e">
        <f>IF(H58=$X$10,SQRT(K58*10000),SQRT(Parcellaire!K58*10000)/$AB$11)</f>
        <v>#VALUE!</v>
      </c>
      <c r="M58" s="10">
        <f t="shared" si="21"/>
        <v>6</v>
      </c>
      <c r="N58" s="24"/>
      <c r="O58" s="26"/>
      <c r="P58" s="154">
        <f t="shared" si="11"/>
        <v>0</v>
      </c>
      <c r="Q58" s="10">
        <f t="shared" si="22"/>
        <v>0</v>
      </c>
      <c r="R58" s="10">
        <f t="shared" si="23"/>
        <v>0</v>
      </c>
      <c r="S58" s="10" t="e">
        <f t="shared" si="6"/>
        <v>#VALUE!</v>
      </c>
      <c r="T58" s="10">
        <f t="shared" si="24"/>
        <v>0</v>
      </c>
      <c r="U58" s="27" t="e">
        <f t="shared" si="25"/>
        <v>#VALUE!</v>
      </c>
    </row>
    <row r="59" spans="1:21" x14ac:dyDescent="0.25">
      <c r="A59" s="8">
        <v>60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4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61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4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62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4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s="82" customFormat="1" x14ac:dyDescent="0.25">
      <c r="A62" s="134" t="s">
        <v>13</v>
      </c>
      <c r="B62" s="134"/>
      <c r="C62" s="134"/>
      <c r="D62" s="134"/>
      <c r="E62" s="134"/>
      <c r="F62" s="134"/>
      <c r="G62" s="134">
        <f>SUMIF(Parcellaire!$B$2:$B$61,1,Parcellaire!G2:G61)</f>
        <v>14.5</v>
      </c>
      <c r="H62" s="134">
        <f>SUMIF(Parcellaire!$B$2:$B$61,1,Parcellaire!H2:H61)</f>
        <v>18</v>
      </c>
      <c r="I62" s="134">
        <f>SUMIF(Parcellaire!$B$2:$B$61,1,Parcellaire!I2:I61)</f>
        <v>2.5</v>
      </c>
      <c r="J62" s="134">
        <f>SUMIF(Parcellaire!$B$2:$B$61,1,Parcellaire!J2:J61)</f>
        <v>15.950000000000001</v>
      </c>
      <c r="K62" s="134">
        <f>SUMIF(Parcellaire!$B$2:$B$61,1,Parcellaire!K2:K61)</f>
        <v>17.270000000000003</v>
      </c>
      <c r="L62" s="134">
        <f>SUMIF(Parcellaire!$B$2:$B$61,1,Parcellaire!L2:L61)</f>
        <v>699.41604438671368</v>
      </c>
      <c r="M62" s="134">
        <f>SUMIF(Parcellaire!$B$2:$B$61,1,Parcellaire!M2:M61)</f>
        <v>36</v>
      </c>
      <c r="N62" s="134">
        <f>SUMIF(Parcellaire!$B$2:$B$61,1,Parcellaire!N2:N61)</f>
        <v>36</v>
      </c>
      <c r="O62" s="134">
        <f>SUMIF(Parcellaire!$B$2:$B$61,1,Parcellaire!O2:O61)</f>
        <v>0</v>
      </c>
      <c r="P62" s="134">
        <f>SUMIF(Parcellaire!$B$2:$B$61,1,Parcellaire!P2:P61)</f>
        <v>16</v>
      </c>
      <c r="Q62" s="134">
        <f>SUMIF(Parcellaire!$B$2:$B$61,1,Parcellaire!Q2:Q61)</f>
        <v>0</v>
      </c>
      <c r="R62" s="134">
        <f>SUMIF(Parcellaire!$B$2:$B$61,1,Parcellaire!R2:R61)</f>
        <v>0</v>
      </c>
      <c r="S62" s="134">
        <f>SUMIF(Parcellaire!$B$2:$B$61,1,Parcellaire!S2:S61)</f>
        <v>3369.1689853604353</v>
      </c>
      <c r="T62" s="134">
        <f>SUMIF(Parcellaire!$B$2:$B$61,1,Parcellaire!T2:T61)</f>
        <v>1654.6545619196932</v>
      </c>
      <c r="U62" s="134">
        <f>SUMIF(Parcellaire!$B$2:$B$61,1,Parcellaire!U2:U61)</f>
        <v>4196.4962663202823</v>
      </c>
    </row>
  </sheetData>
  <dataValidations count="1">
    <dataValidation type="list" allowBlank="1" showInputMessage="1" showErrorMessage="1" sqref="B2:B61">
      <formula1>$X$21:$X$25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B27" sqref="B27:Y30"/>
    </sheetView>
  </sheetViews>
  <sheetFormatPr baseColWidth="10" defaultRowHeight="15" x14ac:dyDescent="0.25"/>
  <cols>
    <col min="1" max="1" width="26.140625" customWidth="1"/>
    <col min="2" max="25" width="4.7109375" customWidth="1"/>
  </cols>
  <sheetData>
    <row r="1" spans="1:25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</row>
    <row r="2" spans="1:25" x14ac:dyDescent="0.25">
      <c r="B2" s="156">
        <v>1</v>
      </c>
      <c r="C2" s="156">
        <v>2</v>
      </c>
      <c r="D2" s="156">
        <v>3</v>
      </c>
      <c r="E2" s="156">
        <v>4</v>
      </c>
      <c r="F2" s="156">
        <v>5</v>
      </c>
      <c r="G2" s="156">
        <v>6</v>
      </c>
      <c r="H2" s="156">
        <v>7</v>
      </c>
      <c r="I2" s="156">
        <v>8</v>
      </c>
      <c r="J2" s="156">
        <v>9</v>
      </c>
      <c r="K2" s="156">
        <v>10</v>
      </c>
      <c r="L2" s="156">
        <v>11</v>
      </c>
      <c r="M2" s="156">
        <v>12</v>
      </c>
      <c r="N2" s="156">
        <v>13</v>
      </c>
      <c r="O2" s="156">
        <v>14</v>
      </c>
      <c r="P2" s="156">
        <v>15</v>
      </c>
      <c r="Q2" s="156">
        <v>16</v>
      </c>
      <c r="R2" s="156">
        <v>17</v>
      </c>
      <c r="S2" s="156">
        <v>18</v>
      </c>
      <c r="T2" s="156">
        <v>19</v>
      </c>
      <c r="U2" s="156">
        <v>20</v>
      </c>
      <c r="V2" s="156">
        <v>21</v>
      </c>
      <c r="W2" s="156">
        <v>22</v>
      </c>
      <c r="X2" s="156">
        <v>23</v>
      </c>
      <c r="Y2" s="156">
        <v>24</v>
      </c>
    </row>
    <row r="3" spans="1:25" x14ac:dyDescent="0.25">
      <c r="A3" t="s">
        <v>174</v>
      </c>
      <c r="B3" s="156">
        <v>15.5</v>
      </c>
      <c r="C3" s="156">
        <v>15.5</v>
      </c>
      <c r="D3" s="156">
        <v>14</v>
      </c>
      <c r="E3" s="156">
        <v>14</v>
      </c>
      <c r="F3" s="156">
        <v>15.5</v>
      </c>
      <c r="G3" s="156">
        <v>15.5</v>
      </c>
      <c r="H3" s="156">
        <v>15</v>
      </c>
      <c r="I3" s="156">
        <v>15</v>
      </c>
      <c r="J3" s="156">
        <v>15.5</v>
      </c>
      <c r="K3" s="156">
        <v>15.5</v>
      </c>
      <c r="L3" s="156">
        <v>15</v>
      </c>
      <c r="M3" s="156">
        <v>15</v>
      </c>
      <c r="N3" s="156">
        <v>15.5</v>
      </c>
      <c r="O3" s="156">
        <v>15.5</v>
      </c>
      <c r="P3" s="156">
        <v>15.5</v>
      </c>
      <c r="Q3" s="156">
        <v>15.5</v>
      </c>
      <c r="R3" s="156">
        <v>15</v>
      </c>
      <c r="S3" s="156">
        <v>15</v>
      </c>
      <c r="T3" s="156">
        <v>15.5</v>
      </c>
      <c r="U3" s="156">
        <v>15.5</v>
      </c>
      <c r="V3" s="156">
        <v>15</v>
      </c>
      <c r="W3" s="156">
        <v>15</v>
      </c>
      <c r="X3" s="156">
        <v>15.5</v>
      </c>
      <c r="Y3" s="156">
        <v>15.5</v>
      </c>
    </row>
    <row r="4" spans="1:25" x14ac:dyDescent="0.25">
      <c r="A4" s="2" t="s">
        <v>325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</row>
    <row r="5" spans="1:25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</row>
    <row r="6" spans="1:25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</row>
    <row r="7" spans="1:25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</row>
    <row r="9" spans="1:25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</row>
    <row r="10" spans="1:25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x14ac:dyDescent="0.25">
      <c r="A13" s="2" t="s">
        <v>12</v>
      </c>
      <c r="B13" s="65" t="s">
        <v>172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 x14ac:dyDescent="0.25">
      <c r="A14" s="44" t="s">
        <v>171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 x14ac:dyDescent="0.25">
      <c r="A15" s="50" t="s">
        <v>453</v>
      </c>
      <c r="B15" s="60">
        <v>185</v>
      </c>
      <c r="C15" s="60">
        <v>191</v>
      </c>
      <c r="D15" s="60">
        <v>197</v>
      </c>
      <c r="E15" s="60">
        <v>189</v>
      </c>
      <c r="F15" s="60">
        <v>195</v>
      </c>
      <c r="G15" s="60">
        <v>202</v>
      </c>
      <c r="H15" s="60">
        <v>209</v>
      </c>
      <c r="I15" s="60">
        <v>217</v>
      </c>
      <c r="J15" s="60">
        <v>225</v>
      </c>
      <c r="K15" s="60">
        <v>236</v>
      </c>
      <c r="L15" s="60">
        <v>242</v>
      </c>
      <c r="M15" s="60">
        <v>242</v>
      </c>
      <c r="N15" s="60">
        <v>242</v>
      </c>
      <c r="O15" s="60">
        <v>242</v>
      </c>
      <c r="P15" s="60">
        <v>242</v>
      </c>
      <c r="Q15" s="60">
        <v>242</v>
      </c>
      <c r="R15" s="60">
        <v>242</v>
      </c>
      <c r="S15" s="60">
        <v>229</v>
      </c>
      <c r="T15" s="60">
        <v>229</v>
      </c>
      <c r="U15" s="60">
        <v>229</v>
      </c>
      <c r="V15" s="60">
        <v>260</v>
      </c>
      <c r="W15" s="60">
        <v>260</v>
      </c>
      <c r="X15" s="60">
        <v>185</v>
      </c>
      <c r="Y15" s="60">
        <v>185</v>
      </c>
    </row>
    <row r="16" spans="1:25" x14ac:dyDescent="0.25">
      <c r="A16" s="50" t="s">
        <v>439</v>
      </c>
      <c r="B16" s="60">
        <f>B19+B20</f>
        <v>78</v>
      </c>
      <c r="C16" s="60">
        <f t="shared" ref="C16:Y16" si="0">C19+C20</f>
        <v>70</v>
      </c>
      <c r="D16" s="60">
        <f t="shared" si="0"/>
        <v>62</v>
      </c>
      <c r="E16" s="60">
        <f t="shared" si="0"/>
        <v>54</v>
      </c>
      <c r="F16" s="60">
        <f t="shared" si="0"/>
        <v>46</v>
      </c>
      <c r="G16" s="60">
        <f t="shared" si="0"/>
        <v>38</v>
      </c>
      <c r="H16" s="60">
        <f t="shared" si="0"/>
        <v>30</v>
      </c>
      <c r="I16" s="60">
        <f t="shared" si="0"/>
        <v>21</v>
      </c>
      <c r="J16" s="60">
        <f t="shared" si="0"/>
        <v>12</v>
      </c>
      <c r="K16" s="60">
        <f t="shared" si="0"/>
        <v>0</v>
      </c>
      <c r="L16" s="60">
        <f t="shared" si="0"/>
        <v>0</v>
      </c>
      <c r="M16" s="60">
        <f t="shared" si="0"/>
        <v>0</v>
      </c>
      <c r="N16" s="60">
        <f t="shared" si="0"/>
        <v>0</v>
      </c>
      <c r="O16" s="60">
        <f t="shared" si="0"/>
        <v>0</v>
      </c>
      <c r="P16" s="60">
        <f t="shared" si="0"/>
        <v>0</v>
      </c>
      <c r="Q16" s="60">
        <f t="shared" si="0"/>
        <v>0</v>
      </c>
      <c r="R16" s="60">
        <f t="shared" si="0"/>
        <v>0</v>
      </c>
      <c r="S16" s="60">
        <f t="shared" si="0"/>
        <v>0</v>
      </c>
      <c r="T16" s="60">
        <f t="shared" si="0"/>
        <v>0</v>
      </c>
      <c r="U16" s="60">
        <f t="shared" si="0"/>
        <v>0</v>
      </c>
      <c r="V16" s="60">
        <f t="shared" si="0"/>
        <v>3</v>
      </c>
      <c r="W16" s="60">
        <f t="shared" si="0"/>
        <v>3</v>
      </c>
      <c r="X16" s="60">
        <f t="shared" si="0"/>
        <v>78</v>
      </c>
      <c r="Y16" s="60">
        <f t="shared" si="0"/>
        <v>78</v>
      </c>
    </row>
    <row r="17" spans="1:25" x14ac:dyDescent="0.25">
      <c r="A17" s="50" t="s">
        <v>440</v>
      </c>
      <c r="B17" s="60">
        <f>B21+B22</f>
        <v>68</v>
      </c>
      <c r="C17" s="60">
        <f t="shared" ref="C17:Y17" si="1">C21+C22</f>
        <v>68</v>
      </c>
      <c r="D17" s="60">
        <f t="shared" si="1"/>
        <v>68</v>
      </c>
      <c r="E17" s="60">
        <f t="shared" si="1"/>
        <v>68</v>
      </c>
      <c r="F17" s="60">
        <f t="shared" si="1"/>
        <v>68</v>
      </c>
      <c r="G17" s="60">
        <f t="shared" si="1"/>
        <v>68</v>
      </c>
      <c r="H17" s="60">
        <f t="shared" si="1"/>
        <v>68</v>
      </c>
      <c r="I17" s="60">
        <f t="shared" si="1"/>
        <v>68</v>
      </c>
      <c r="J17" s="60">
        <f t="shared" si="1"/>
        <v>68</v>
      </c>
      <c r="K17" s="60">
        <f t="shared" si="1"/>
        <v>68</v>
      </c>
      <c r="L17" s="60">
        <f t="shared" si="1"/>
        <v>54</v>
      </c>
      <c r="M17" s="60">
        <f t="shared" si="1"/>
        <v>54</v>
      </c>
      <c r="N17" s="60">
        <f t="shared" si="1"/>
        <v>54</v>
      </c>
      <c r="O17" s="60">
        <f t="shared" si="1"/>
        <v>54</v>
      </c>
      <c r="P17" s="60">
        <f t="shared" si="1"/>
        <v>54</v>
      </c>
      <c r="Q17" s="60">
        <f t="shared" si="1"/>
        <v>54</v>
      </c>
      <c r="R17" s="60">
        <f t="shared" si="1"/>
        <v>54</v>
      </c>
      <c r="S17" s="60">
        <f t="shared" si="1"/>
        <v>54</v>
      </c>
      <c r="T17" s="60">
        <f t="shared" si="1"/>
        <v>54</v>
      </c>
      <c r="U17" s="60">
        <f t="shared" si="1"/>
        <v>54</v>
      </c>
      <c r="V17" s="60">
        <f t="shared" si="1"/>
        <v>14</v>
      </c>
      <c r="W17" s="60">
        <f t="shared" si="1"/>
        <v>14</v>
      </c>
      <c r="X17" s="60">
        <f t="shared" si="1"/>
        <v>68</v>
      </c>
      <c r="Y17" s="60">
        <f t="shared" si="1"/>
        <v>68</v>
      </c>
    </row>
    <row r="18" spans="1:25" x14ac:dyDescent="0.25">
      <c r="A18" s="50" t="s">
        <v>441</v>
      </c>
      <c r="B18" s="60">
        <v>6</v>
      </c>
      <c r="C18" s="60">
        <v>6</v>
      </c>
      <c r="D18" s="60">
        <v>6</v>
      </c>
      <c r="E18" s="60">
        <v>6</v>
      </c>
      <c r="F18" s="60">
        <v>6</v>
      </c>
      <c r="G18" s="60">
        <v>6</v>
      </c>
      <c r="H18" s="60">
        <v>6</v>
      </c>
      <c r="I18" s="60">
        <v>6</v>
      </c>
      <c r="J18" s="60">
        <v>6</v>
      </c>
      <c r="K18" s="60">
        <v>6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6</v>
      </c>
      <c r="W18" s="60">
        <v>6</v>
      </c>
      <c r="X18" s="60">
        <v>6</v>
      </c>
      <c r="Y18" s="60">
        <v>6</v>
      </c>
    </row>
    <row r="19" spans="1:25" x14ac:dyDescent="0.25">
      <c r="A19" s="158" t="s">
        <v>456</v>
      </c>
      <c r="B19" s="60">
        <v>75</v>
      </c>
      <c r="C19" s="60">
        <v>67</v>
      </c>
      <c r="D19" s="60">
        <v>59</v>
      </c>
      <c r="E19" s="60">
        <v>51</v>
      </c>
      <c r="F19" s="60">
        <v>43</v>
      </c>
      <c r="G19" s="60">
        <v>35</v>
      </c>
      <c r="H19" s="60">
        <v>27</v>
      </c>
      <c r="I19" s="60">
        <v>18</v>
      </c>
      <c r="J19" s="60">
        <v>9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75</v>
      </c>
      <c r="Y19" s="60">
        <v>75</v>
      </c>
    </row>
    <row r="20" spans="1:25" x14ac:dyDescent="0.25">
      <c r="A20" s="158" t="s">
        <v>457</v>
      </c>
      <c r="B20" s="60">
        <v>3</v>
      </c>
      <c r="C20" s="60">
        <v>3</v>
      </c>
      <c r="D20" s="60">
        <v>3</v>
      </c>
      <c r="E20" s="60">
        <v>3</v>
      </c>
      <c r="F20" s="60">
        <v>3</v>
      </c>
      <c r="G20" s="60">
        <v>3</v>
      </c>
      <c r="H20" s="60">
        <v>3</v>
      </c>
      <c r="I20" s="60">
        <v>3</v>
      </c>
      <c r="J20" s="60">
        <v>3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3</v>
      </c>
      <c r="W20" s="60">
        <v>3</v>
      </c>
      <c r="X20" s="60">
        <v>3</v>
      </c>
      <c r="Y20" s="60">
        <v>3</v>
      </c>
    </row>
    <row r="21" spans="1:25" x14ac:dyDescent="0.25">
      <c r="A21" s="158" t="s">
        <v>458</v>
      </c>
      <c r="B21" s="60">
        <v>14</v>
      </c>
      <c r="C21" s="60">
        <v>14</v>
      </c>
      <c r="D21" s="60">
        <v>14</v>
      </c>
      <c r="E21" s="60">
        <v>14</v>
      </c>
      <c r="F21" s="60">
        <v>14</v>
      </c>
      <c r="G21" s="60">
        <v>14</v>
      </c>
      <c r="H21" s="60">
        <v>14</v>
      </c>
      <c r="I21" s="60">
        <v>14</v>
      </c>
      <c r="J21" s="60">
        <v>14</v>
      </c>
      <c r="K21" s="60">
        <v>14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14</v>
      </c>
      <c r="W21" s="60">
        <v>14</v>
      </c>
      <c r="X21" s="60">
        <v>14</v>
      </c>
      <c r="Y21" s="60">
        <v>14</v>
      </c>
    </row>
    <row r="22" spans="1:25" x14ac:dyDescent="0.25">
      <c r="A22" s="158" t="s">
        <v>459</v>
      </c>
      <c r="B22" s="60">
        <v>54</v>
      </c>
      <c r="C22" s="60">
        <v>54</v>
      </c>
      <c r="D22" s="60">
        <v>54</v>
      </c>
      <c r="E22" s="60">
        <v>54</v>
      </c>
      <c r="F22" s="60">
        <v>54</v>
      </c>
      <c r="G22" s="60">
        <v>54</v>
      </c>
      <c r="H22" s="60">
        <v>54</v>
      </c>
      <c r="I22" s="60">
        <v>54</v>
      </c>
      <c r="J22" s="60">
        <v>54</v>
      </c>
      <c r="K22" s="60">
        <v>54</v>
      </c>
      <c r="L22" s="60">
        <v>54</v>
      </c>
      <c r="M22" s="60">
        <v>54</v>
      </c>
      <c r="N22" s="60">
        <v>54</v>
      </c>
      <c r="O22" s="60">
        <v>54</v>
      </c>
      <c r="P22" s="60">
        <v>54</v>
      </c>
      <c r="Q22" s="60">
        <v>54</v>
      </c>
      <c r="R22" s="60">
        <v>54</v>
      </c>
      <c r="S22" s="60">
        <v>54</v>
      </c>
      <c r="T22" s="60">
        <v>54</v>
      </c>
      <c r="U22" s="60">
        <v>54</v>
      </c>
      <c r="V22" s="60">
        <v>0</v>
      </c>
      <c r="W22" s="60">
        <v>0</v>
      </c>
      <c r="X22" s="60">
        <v>54</v>
      </c>
      <c r="Y22" s="60">
        <v>54</v>
      </c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2" t="s">
        <v>460</v>
      </c>
    </row>
    <row r="27" spans="1:25" x14ac:dyDescent="0.25">
      <c r="A27" s="50" t="s">
        <v>453</v>
      </c>
      <c r="B27">
        <v>0.15</v>
      </c>
      <c r="C27">
        <v>0.15</v>
      </c>
      <c r="D27">
        <v>0.15</v>
      </c>
      <c r="E27">
        <v>0.15</v>
      </c>
      <c r="F27">
        <v>0.15</v>
      </c>
      <c r="G27">
        <v>0.15</v>
      </c>
      <c r="H27">
        <v>0.15</v>
      </c>
      <c r="I27">
        <v>0.15</v>
      </c>
      <c r="J27">
        <v>0.15</v>
      </c>
      <c r="K27">
        <v>0.15</v>
      </c>
      <c r="L27">
        <v>0.15</v>
      </c>
      <c r="M27">
        <v>0.15</v>
      </c>
      <c r="N27">
        <v>0.15</v>
      </c>
      <c r="O27">
        <v>0.15</v>
      </c>
      <c r="P27">
        <v>0.15</v>
      </c>
      <c r="Q27">
        <v>0.15</v>
      </c>
      <c r="R27">
        <v>0.15</v>
      </c>
      <c r="S27">
        <v>0.15</v>
      </c>
      <c r="T27">
        <v>0.15</v>
      </c>
      <c r="U27">
        <v>0.15</v>
      </c>
      <c r="V27">
        <v>0.15</v>
      </c>
      <c r="W27">
        <v>0.15</v>
      </c>
      <c r="X27">
        <v>0.15</v>
      </c>
      <c r="Y27">
        <v>0.15</v>
      </c>
    </row>
    <row r="28" spans="1:25" x14ac:dyDescent="0.25">
      <c r="A28" s="50" t="s">
        <v>439</v>
      </c>
      <c r="B28">
        <v>0.03</v>
      </c>
      <c r="C28">
        <v>0.03</v>
      </c>
      <c r="D28">
        <v>0.03</v>
      </c>
      <c r="E28">
        <v>0.03</v>
      </c>
      <c r="F28">
        <v>0.03</v>
      </c>
      <c r="G28">
        <v>0.03</v>
      </c>
      <c r="H28">
        <v>0.03</v>
      </c>
      <c r="I28">
        <v>0.03</v>
      </c>
      <c r="J28">
        <v>0.03</v>
      </c>
      <c r="K28">
        <v>0.03</v>
      </c>
      <c r="L28">
        <v>0.03</v>
      </c>
      <c r="M28">
        <v>0.03</v>
      </c>
      <c r="N28">
        <v>0.03</v>
      </c>
      <c r="O28">
        <v>0.03</v>
      </c>
      <c r="P28">
        <v>0.03</v>
      </c>
      <c r="Q28">
        <v>0.03</v>
      </c>
      <c r="R28">
        <v>0.03</v>
      </c>
      <c r="S28">
        <v>0.03</v>
      </c>
      <c r="T28">
        <v>0.03</v>
      </c>
      <c r="U28">
        <v>0.03</v>
      </c>
      <c r="V28">
        <v>0.03</v>
      </c>
      <c r="W28">
        <v>0.03</v>
      </c>
      <c r="X28">
        <v>0.03</v>
      </c>
      <c r="Y28">
        <v>0.03</v>
      </c>
    </row>
    <row r="29" spans="1:25" x14ac:dyDescent="0.25">
      <c r="A29" s="50" t="s">
        <v>440</v>
      </c>
      <c r="B29">
        <f>(B21*0.15+B22*0.03)/B17</f>
        <v>5.4705882352941174E-2</v>
      </c>
      <c r="C29">
        <f t="shared" ref="C29:E29" si="2">(C21*0.15+C22*0.03)/C17</f>
        <v>5.4705882352941174E-2</v>
      </c>
      <c r="D29">
        <f t="shared" si="2"/>
        <v>5.4705882352941174E-2</v>
      </c>
      <c r="E29">
        <f t="shared" si="2"/>
        <v>5.4705882352941174E-2</v>
      </c>
      <c r="F29">
        <f>(F21*0.15+F22*0.07)/F17</f>
        <v>8.6470588235294132E-2</v>
      </c>
      <c r="G29">
        <f t="shared" ref="G29:M29" si="3">(G21*0.15+G22*0.07)/G17</f>
        <v>8.6470588235294132E-2</v>
      </c>
      <c r="H29">
        <f t="shared" si="3"/>
        <v>8.6470588235294132E-2</v>
      </c>
      <c r="I29">
        <f t="shared" si="3"/>
        <v>8.6470588235294132E-2</v>
      </c>
      <c r="J29">
        <f t="shared" si="3"/>
        <v>8.6470588235294132E-2</v>
      </c>
      <c r="K29">
        <f t="shared" si="3"/>
        <v>8.6470588235294132E-2</v>
      </c>
      <c r="L29">
        <f t="shared" si="3"/>
        <v>7.0000000000000007E-2</v>
      </c>
      <c r="M29">
        <f t="shared" si="3"/>
        <v>7.0000000000000007E-2</v>
      </c>
      <c r="N29">
        <f>(N21*0.15+N22*0.15)/N17</f>
        <v>0.15</v>
      </c>
      <c r="O29">
        <f t="shared" ref="O29:U29" si="4">(O21*0.15+O22*0.15)/O17</f>
        <v>0.15</v>
      </c>
      <c r="P29">
        <f t="shared" si="4"/>
        <v>0.15</v>
      </c>
      <c r="Q29">
        <f t="shared" si="4"/>
        <v>0.15</v>
      </c>
      <c r="R29">
        <f t="shared" si="4"/>
        <v>0.15</v>
      </c>
      <c r="S29">
        <f t="shared" si="4"/>
        <v>0.15</v>
      </c>
      <c r="T29">
        <f t="shared" si="4"/>
        <v>0.15</v>
      </c>
      <c r="U29">
        <f t="shared" si="4"/>
        <v>0.15</v>
      </c>
      <c r="V29">
        <v>0.15</v>
      </c>
      <c r="W29">
        <v>0.15</v>
      </c>
      <c r="X29">
        <f>(X21*0.15+X22*0.03)/X17</f>
        <v>5.4705882352941174E-2</v>
      </c>
      <c r="Y29">
        <f>(Y21*0.15+Y22*0.03)/Y17</f>
        <v>5.4705882352941174E-2</v>
      </c>
    </row>
    <row r="30" spans="1:25" x14ac:dyDescent="0.25">
      <c r="A30" s="50" t="s">
        <v>441</v>
      </c>
      <c r="B30">
        <v>0.15</v>
      </c>
      <c r="C30">
        <v>0.15</v>
      </c>
      <c r="D30">
        <v>0.15</v>
      </c>
      <c r="E30">
        <v>0.15</v>
      </c>
      <c r="F30">
        <v>0.15</v>
      </c>
      <c r="G30">
        <v>0.15</v>
      </c>
      <c r="H30">
        <v>0.15</v>
      </c>
      <c r="I30">
        <v>0.15</v>
      </c>
      <c r="J30">
        <v>0.15</v>
      </c>
      <c r="K30">
        <v>0.15</v>
      </c>
      <c r="L30">
        <v>0.15</v>
      </c>
      <c r="M30">
        <v>0.15</v>
      </c>
      <c r="N30">
        <v>0.15</v>
      </c>
      <c r="O30">
        <v>0.15</v>
      </c>
      <c r="P30">
        <v>0.15</v>
      </c>
      <c r="Q30">
        <v>0.15</v>
      </c>
      <c r="R30">
        <v>0.15</v>
      </c>
      <c r="S30">
        <v>0.15</v>
      </c>
      <c r="T30">
        <v>0.15</v>
      </c>
      <c r="U30">
        <v>0.15</v>
      </c>
      <c r="V30">
        <v>0.15</v>
      </c>
      <c r="W30">
        <v>0.15</v>
      </c>
      <c r="X30">
        <v>0.15</v>
      </c>
      <c r="Y30">
        <v>0.15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4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baseColWidth="10" defaultRowHeight="15" x14ac:dyDescent="0.25"/>
  <cols>
    <col min="1" max="1" width="23.85546875" customWidth="1"/>
    <col min="2" max="25" width="4.7109375" customWidth="1"/>
    <col min="26" max="27" width="8.7109375" customWidth="1"/>
    <col min="28" max="28" width="27" customWidth="1"/>
    <col min="29" max="31" width="8.7109375" customWidth="1"/>
    <col min="33" max="33" width="24.28515625" customWidth="1"/>
    <col min="34" max="57" width="4.7109375" customWidth="1"/>
  </cols>
  <sheetData>
    <row r="1" spans="1:57" x14ac:dyDescent="0.25">
      <c r="A1" t="s">
        <v>470</v>
      </c>
      <c r="B1">
        <v>45</v>
      </c>
      <c r="C1">
        <v>28</v>
      </c>
      <c r="AG1" t="s">
        <v>469</v>
      </c>
      <c r="AH1">
        <v>45</v>
      </c>
    </row>
    <row r="2" spans="1:57" x14ac:dyDescent="0.25">
      <c r="B2" s="286" t="s">
        <v>2</v>
      </c>
      <c r="C2" s="286"/>
      <c r="D2" s="286" t="s">
        <v>0</v>
      </c>
      <c r="E2" s="286"/>
      <c r="F2" s="286" t="s">
        <v>1</v>
      </c>
      <c r="G2" s="286"/>
      <c r="H2" s="286" t="s">
        <v>3</v>
      </c>
      <c r="I2" s="286"/>
      <c r="J2" s="286" t="s">
        <v>4</v>
      </c>
      <c r="K2" s="286"/>
      <c r="L2" s="286" t="s">
        <v>5</v>
      </c>
      <c r="M2" s="286"/>
      <c r="N2" s="286" t="s">
        <v>6</v>
      </c>
      <c r="O2" s="286"/>
      <c r="P2" s="286" t="s">
        <v>7</v>
      </c>
      <c r="Q2" s="286"/>
      <c r="R2" s="286" t="s">
        <v>8</v>
      </c>
      <c r="S2" s="286"/>
      <c r="T2" s="286" t="s">
        <v>9</v>
      </c>
      <c r="U2" s="286"/>
      <c r="V2" s="286" t="s">
        <v>10</v>
      </c>
      <c r="W2" s="286"/>
      <c r="X2" s="286" t="s">
        <v>11</v>
      </c>
      <c r="Y2" s="286"/>
      <c r="Z2" s="156"/>
      <c r="AA2" s="156"/>
      <c r="AB2" s="156"/>
      <c r="AC2" s="156"/>
      <c r="AD2" s="156"/>
      <c r="AE2" s="156"/>
      <c r="AH2" s="286" t="s">
        <v>2</v>
      </c>
      <c r="AI2" s="286"/>
      <c r="AJ2" s="286" t="s">
        <v>0</v>
      </c>
      <c r="AK2" s="286"/>
      <c r="AL2" s="286" t="s">
        <v>1</v>
      </c>
      <c r="AM2" s="286"/>
      <c r="AN2" s="286" t="s">
        <v>3</v>
      </c>
      <c r="AO2" s="286"/>
      <c r="AP2" s="286" t="s">
        <v>4</v>
      </c>
      <c r="AQ2" s="286"/>
      <c r="AR2" s="286" t="s">
        <v>5</v>
      </c>
      <c r="AS2" s="286"/>
      <c r="AT2" s="286" t="s">
        <v>6</v>
      </c>
      <c r="AU2" s="286"/>
      <c r="AV2" s="286" t="s">
        <v>7</v>
      </c>
      <c r="AW2" s="286"/>
      <c r="AX2" s="286" t="s">
        <v>8</v>
      </c>
      <c r="AY2" s="286"/>
      <c r="AZ2" s="286" t="s">
        <v>9</v>
      </c>
      <c r="BA2" s="286"/>
      <c r="BB2" s="286" t="s">
        <v>10</v>
      </c>
      <c r="BC2" s="286"/>
      <c r="BD2" s="286" t="s">
        <v>11</v>
      </c>
      <c r="BE2" s="286"/>
    </row>
    <row r="3" spans="1:57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156"/>
      <c r="AA3" s="156"/>
      <c r="AB3" s="156"/>
      <c r="AC3" s="156"/>
      <c r="AD3" s="156"/>
      <c r="AE3" s="156"/>
      <c r="AH3" s="156">
        <v>1</v>
      </c>
      <c r="AI3" s="156">
        <v>2</v>
      </c>
      <c r="AJ3" s="156">
        <v>3</v>
      </c>
      <c r="AK3" s="156">
        <v>4</v>
      </c>
      <c r="AL3" s="156">
        <v>5</v>
      </c>
      <c r="AM3" s="156">
        <v>6</v>
      </c>
      <c r="AN3" s="156">
        <v>7</v>
      </c>
      <c r="AO3" s="156">
        <v>8</v>
      </c>
      <c r="AP3" s="156">
        <v>9</v>
      </c>
      <c r="AQ3" s="156">
        <v>10</v>
      </c>
      <c r="AR3" s="156">
        <v>11</v>
      </c>
      <c r="AS3" s="156">
        <v>12</v>
      </c>
      <c r="AT3" s="156">
        <v>13</v>
      </c>
      <c r="AU3" s="156">
        <v>14</v>
      </c>
      <c r="AV3" s="156">
        <v>15</v>
      </c>
      <c r="AW3" s="156">
        <v>16</v>
      </c>
      <c r="AX3" s="156">
        <v>17</v>
      </c>
      <c r="AY3" s="156">
        <v>18</v>
      </c>
      <c r="AZ3" s="156">
        <v>19</v>
      </c>
      <c r="BA3" s="156">
        <v>20</v>
      </c>
      <c r="BB3" s="156">
        <v>21</v>
      </c>
      <c r="BC3" s="156">
        <v>22</v>
      </c>
      <c r="BD3" s="156">
        <v>23</v>
      </c>
      <c r="BE3" s="156">
        <v>24</v>
      </c>
    </row>
    <row r="4" spans="1:57" x14ac:dyDescent="0.25">
      <c r="A4" t="s">
        <v>174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156"/>
      <c r="AA4" s="156"/>
      <c r="AB4" s="156"/>
      <c r="AC4" s="156"/>
      <c r="AD4" s="156"/>
      <c r="AE4" s="156"/>
      <c r="AG4" t="s">
        <v>174</v>
      </c>
      <c r="AH4" s="156">
        <v>15.5</v>
      </c>
      <c r="AI4" s="156">
        <v>15.5</v>
      </c>
      <c r="AJ4" s="156">
        <v>14</v>
      </c>
      <c r="AK4" s="156">
        <v>14</v>
      </c>
      <c r="AL4" s="156">
        <v>15.5</v>
      </c>
      <c r="AM4" s="156">
        <v>15.5</v>
      </c>
      <c r="AN4" s="156">
        <v>15</v>
      </c>
      <c r="AO4" s="156">
        <v>15</v>
      </c>
      <c r="AP4" s="156">
        <v>15.5</v>
      </c>
      <c r="AQ4" s="156">
        <v>15.5</v>
      </c>
      <c r="AR4" s="156">
        <v>15</v>
      </c>
      <c r="AS4" s="156">
        <v>15</v>
      </c>
      <c r="AT4" s="156">
        <v>15.5</v>
      </c>
      <c r="AU4" s="156">
        <v>15.5</v>
      </c>
      <c r="AV4" s="156">
        <v>15.5</v>
      </c>
      <c r="AW4" s="156">
        <v>15.5</v>
      </c>
      <c r="AX4" s="156">
        <v>15</v>
      </c>
      <c r="AY4" s="156">
        <v>15</v>
      </c>
      <c r="AZ4" s="156">
        <v>15.5</v>
      </c>
      <c r="BA4" s="156">
        <v>15.5</v>
      </c>
      <c r="BB4" s="156">
        <v>15</v>
      </c>
      <c r="BC4" s="156">
        <v>15</v>
      </c>
      <c r="BD4" s="156">
        <v>15.5</v>
      </c>
      <c r="BE4" s="156">
        <v>15.5</v>
      </c>
    </row>
    <row r="5" spans="1:57" x14ac:dyDescent="0.25">
      <c r="A5" s="2" t="s">
        <v>325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G5" s="2" t="s">
        <v>325</v>
      </c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</row>
    <row r="6" spans="1:57" x14ac:dyDescent="0.25">
      <c r="A6" s="51" t="s">
        <v>326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63"/>
      <c r="AA6" s="63"/>
      <c r="AB6" s="160" t="s">
        <v>91</v>
      </c>
      <c r="AC6" s="63">
        <v>28</v>
      </c>
      <c r="AD6" s="63"/>
      <c r="AE6" s="63"/>
      <c r="AG6" s="51" t="s">
        <v>326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>
        <v>1</v>
      </c>
      <c r="AO6" s="60">
        <v>1</v>
      </c>
      <c r="AP6" s="60">
        <v>1</v>
      </c>
      <c r="AQ6" s="60">
        <v>1</v>
      </c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>
        <v>1</v>
      </c>
      <c r="BE6" s="60">
        <v>1</v>
      </c>
    </row>
    <row r="7" spans="1:57" x14ac:dyDescent="0.25">
      <c r="A7" s="51" t="s">
        <v>327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3"/>
      <c r="AA7" s="63"/>
      <c r="AB7" s="160" t="s">
        <v>107</v>
      </c>
      <c r="AC7" s="63">
        <v>24</v>
      </c>
      <c r="AD7" s="63"/>
      <c r="AE7" s="63"/>
      <c r="AG7" s="51" t="s">
        <v>327</v>
      </c>
      <c r="AH7" s="60">
        <v>1</v>
      </c>
      <c r="AI7" s="60">
        <v>1</v>
      </c>
      <c r="AJ7" s="60">
        <v>1</v>
      </c>
      <c r="AK7" s="60">
        <v>1</v>
      </c>
      <c r="AL7" s="60">
        <v>1</v>
      </c>
      <c r="AM7" s="60">
        <v>1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>
        <v>1</v>
      </c>
      <c r="BE7" s="60">
        <v>1</v>
      </c>
    </row>
    <row r="8" spans="1:57" x14ac:dyDescent="0.25">
      <c r="A8" s="136" t="s">
        <v>329</v>
      </c>
      <c r="B8" s="60">
        <v>1</v>
      </c>
      <c r="C8" s="60">
        <v>1</v>
      </c>
      <c r="D8" s="60">
        <v>1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63"/>
      <c r="AA8" s="63"/>
      <c r="AB8" s="160" t="s">
        <v>100</v>
      </c>
      <c r="AC8" s="63">
        <v>0</v>
      </c>
      <c r="AD8" s="63"/>
      <c r="AE8" s="63"/>
      <c r="AG8" s="136" t="s">
        <v>329</v>
      </c>
      <c r="AH8" s="60">
        <v>1</v>
      </c>
      <c r="AI8" s="60">
        <v>1</v>
      </c>
      <c r="AJ8" s="60">
        <v>1</v>
      </c>
      <c r="AK8" s="60">
        <v>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  <c r="BE8" s="60">
        <v>1</v>
      </c>
    </row>
    <row r="9" spans="1:57" x14ac:dyDescent="0.25">
      <c r="A9" s="51" t="s">
        <v>328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3"/>
      <c r="AA9" s="63"/>
      <c r="AB9" s="160" t="s">
        <v>106</v>
      </c>
      <c r="AC9" s="63">
        <v>24</v>
      </c>
      <c r="AD9" s="63"/>
      <c r="AE9" s="63"/>
      <c r="AG9" s="51" t="s">
        <v>328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</row>
    <row r="10" spans="1:57" x14ac:dyDescent="0.25">
      <c r="A10" s="51" t="s">
        <v>461</v>
      </c>
      <c r="B10" s="60"/>
      <c r="C10" s="60"/>
      <c r="D10" s="60"/>
      <c r="E10" s="60"/>
      <c r="F10" s="60">
        <v>1</v>
      </c>
      <c r="G10" s="60"/>
      <c r="H10" s="60">
        <v>1</v>
      </c>
      <c r="I10" s="60"/>
      <c r="J10" s="60"/>
      <c r="K10" s="60">
        <v>1</v>
      </c>
      <c r="L10" s="60">
        <v>1</v>
      </c>
      <c r="M10" s="60"/>
      <c r="N10" s="60"/>
      <c r="O10" s="60">
        <v>1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3"/>
      <c r="AA10" s="63"/>
      <c r="AB10" s="160" t="s">
        <v>129</v>
      </c>
      <c r="AC10" s="63">
        <v>22</v>
      </c>
      <c r="AD10" s="63"/>
      <c r="AE10" s="63"/>
      <c r="AG10" s="51" t="s">
        <v>461</v>
      </c>
      <c r="AH10" s="60"/>
      <c r="AI10" s="60"/>
      <c r="AJ10" s="60">
        <v>1</v>
      </c>
      <c r="AK10" s="60"/>
      <c r="AL10" s="60">
        <v>1</v>
      </c>
      <c r="AM10" s="60"/>
      <c r="AN10" s="60"/>
      <c r="AO10" s="60"/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/>
      <c r="AW10" s="60"/>
      <c r="AX10" s="60"/>
      <c r="AY10" s="60"/>
      <c r="AZ10" s="60"/>
      <c r="BA10" s="60"/>
      <c r="BB10" s="60"/>
      <c r="BC10" s="60"/>
      <c r="BD10" s="60"/>
      <c r="BE10" s="60"/>
    </row>
    <row r="11" spans="1:57" x14ac:dyDescent="0.25">
      <c r="A11" s="51" t="s">
        <v>462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3"/>
      <c r="AA11" s="63"/>
      <c r="AB11" s="160" t="s">
        <v>471</v>
      </c>
      <c r="AC11" s="63">
        <v>6</v>
      </c>
      <c r="AD11" s="63"/>
      <c r="AE11" s="63"/>
      <c r="AG11" s="51" t="s">
        <v>462</v>
      </c>
      <c r="AH11" s="60"/>
      <c r="AI11" s="60"/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</row>
    <row r="12" spans="1:57" x14ac:dyDescent="0.25">
      <c r="A12" s="51" t="s">
        <v>463</v>
      </c>
      <c r="B12" s="60"/>
      <c r="C12" s="60"/>
      <c r="D12" s="60"/>
      <c r="E12" s="60"/>
      <c r="F12" s="60"/>
      <c r="G12" s="60"/>
      <c r="H12" s="60"/>
      <c r="I12" s="60"/>
      <c r="J12" s="60">
        <v>1</v>
      </c>
      <c r="K12" s="60"/>
      <c r="L12" s="60">
        <v>1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3"/>
      <c r="AA12" s="63"/>
      <c r="AB12" s="160" t="s">
        <v>132</v>
      </c>
      <c r="AC12" s="63">
        <v>6</v>
      </c>
      <c r="AD12" s="63"/>
      <c r="AE12" s="63"/>
      <c r="AG12" s="51" t="s">
        <v>463</v>
      </c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>
        <v>1</v>
      </c>
      <c r="BA12" s="60"/>
      <c r="BB12" s="60">
        <v>1</v>
      </c>
      <c r="BC12" s="60"/>
      <c r="BD12" s="60"/>
      <c r="BE12" s="60"/>
    </row>
    <row r="13" spans="1:57" x14ac:dyDescent="0.25">
      <c r="A13" s="51" t="s">
        <v>464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>
        <v>1</v>
      </c>
      <c r="S13" s="60">
        <v>1</v>
      </c>
      <c r="T13" s="60"/>
      <c r="U13" s="60"/>
      <c r="V13" s="60">
        <v>1</v>
      </c>
      <c r="W13" s="60"/>
      <c r="X13" s="60"/>
      <c r="Y13" s="60">
        <v>1</v>
      </c>
      <c r="Z13" s="63"/>
      <c r="AA13" s="63"/>
      <c r="AB13" s="161" t="s">
        <v>134</v>
      </c>
      <c r="AC13" s="157">
        <v>5</v>
      </c>
      <c r="AD13" s="63"/>
      <c r="AE13" s="63"/>
      <c r="AG13" s="51" t="s">
        <v>464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>
        <v>1</v>
      </c>
      <c r="AW13" s="60">
        <v>1</v>
      </c>
      <c r="AX13" s="60">
        <v>1</v>
      </c>
      <c r="AY13" s="60"/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0">
        <v>1</v>
      </c>
    </row>
    <row r="14" spans="1:57" x14ac:dyDescent="0.25">
      <c r="A14" s="2" t="s">
        <v>12</v>
      </c>
      <c r="B14" s="65" t="s">
        <v>172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/>
      <c r="AA14" s="157"/>
      <c r="AB14" s="160" t="s">
        <v>138</v>
      </c>
      <c r="AC14" s="63">
        <v>11</v>
      </c>
      <c r="AD14" s="157"/>
      <c r="AE14" s="157"/>
      <c r="AG14" s="2" t="s">
        <v>12</v>
      </c>
      <c r="AH14" s="65" t="s">
        <v>172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</row>
    <row r="15" spans="1:57" x14ac:dyDescent="0.25">
      <c r="A15" s="44" t="s">
        <v>171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157"/>
      <c r="AB15" s="63"/>
      <c r="AC15" s="63"/>
      <c r="AD15" s="157"/>
      <c r="AE15" s="157"/>
      <c r="AG15" s="44" t="s">
        <v>171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</row>
    <row r="16" spans="1:57" x14ac:dyDescent="0.25">
      <c r="A16" s="5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3"/>
      <c r="AA16" s="63"/>
      <c r="AB16" s="63"/>
      <c r="AC16" s="63"/>
      <c r="AD16" s="63"/>
      <c r="AE16" s="63"/>
      <c r="AG16" s="50" t="s">
        <v>465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34</v>
      </c>
      <c r="AS16" s="60">
        <v>34</v>
      </c>
      <c r="AT16" s="60">
        <v>34</v>
      </c>
      <c r="AU16" s="60">
        <v>34</v>
      </c>
      <c r="AV16" s="60">
        <v>33</v>
      </c>
      <c r="AW16" s="60">
        <v>32</v>
      </c>
      <c r="AX16" s="60">
        <v>32</v>
      </c>
      <c r="AY16" s="60">
        <v>32</v>
      </c>
      <c r="AZ16" s="60">
        <v>32</v>
      </c>
      <c r="BA16" s="60">
        <v>33</v>
      </c>
      <c r="BB16" s="60">
        <v>34</v>
      </c>
      <c r="BC16" s="60">
        <v>35</v>
      </c>
      <c r="BD16" s="60">
        <v>35</v>
      </c>
      <c r="BE16" s="60">
        <v>34</v>
      </c>
    </row>
    <row r="17" spans="1:57" x14ac:dyDescent="0.25">
      <c r="A17" s="50" t="s">
        <v>477</v>
      </c>
      <c r="B17" s="60">
        <v>0</v>
      </c>
      <c r="C17" s="60">
        <v>0</v>
      </c>
      <c r="D17" s="60">
        <v>0</v>
      </c>
      <c r="E17" s="60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2</v>
      </c>
      <c r="L17" s="162">
        <v>4</v>
      </c>
      <c r="M17" s="162">
        <v>5</v>
      </c>
      <c r="N17" s="162">
        <v>6</v>
      </c>
      <c r="O17" s="162">
        <v>7</v>
      </c>
      <c r="P17" s="162">
        <v>7</v>
      </c>
      <c r="Q17" s="162">
        <v>7</v>
      </c>
      <c r="R17" s="162">
        <v>7</v>
      </c>
      <c r="S17" s="162">
        <v>7</v>
      </c>
      <c r="T17" s="162">
        <v>7</v>
      </c>
      <c r="U17" s="162">
        <v>7</v>
      </c>
      <c r="V17" s="162">
        <v>7</v>
      </c>
      <c r="W17" s="162">
        <v>7</v>
      </c>
      <c r="X17" s="60">
        <v>5</v>
      </c>
      <c r="Y17" s="60">
        <v>2</v>
      </c>
      <c r="Z17" s="63"/>
      <c r="AA17" s="63"/>
      <c r="AB17" s="63"/>
      <c r="AC17" s="63"/>
      <c r="AD17" s="63"/>
      <c r="AE17" s="63"/>
      <c r="AG17" s="50" t="s">
        <v>466</v>
      </c>
      <c r="AH17" s="60">
        <v>2</v>
      </c>
      <c r="AI17" s="60">
        <v>4</v>
      </c>
      <c r="AJ17" s="60">
        <v>7</v>
      </c>
      <c r="AK17" s="60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159">
        <v>11</v>
      </c>
      <c r="AR17" s="159">
        <v>11</v>
      </c>
      <c r="AS17" s="159">
        <v>11</v>
      </c>
      <c r="AT17" s="159">
        <v>11</v>
      </c>
      <c r="AU17" s="60">
        <v>11</v>
      </c>
      <c r="AV17" s="60">
        <v>11</v>
      </c>
      <c r="AW17" s="60">
        <v>11</v>
      </c>
      <c r="AX17" s="60">
        <v>10</v>
      </c>
      <c r="AY17" s="60">
        <v>10</v>
      </c>
      <c r="AZ17" s="60">
        <v>8</v>
      </c>
      <c r="BA17" s="60">
        <v>6</v>
      </c>
      <c r="BB17" s="60">
        <v>3</v>
      </c>
      <c r="BC17" s="60">
        <v>1</v>
      </c>
      <c r="BD17" s="60">
        <v>0</v>
      </c>
      <c r="BE17" s="60">
        <v>0</v>
      </c>
    </row>
    <row r="18" spans="1:57" x14ac:dyDescent="0.25">
      <c r="A18" s="50" t="s">
        <v>476</v>
      </c>
      <c r="B18" s="60">
        <v>1</v>
      </c>
      <c r="C18" s="60">
        <v>1</v>
      </c>
      <c r="D18" s="60">
        <v>2</v>
      </c>
      <c r="E18" s="60">
        <v>2</v>
      </c>
      <c r="F18" s="60">
        <v>2</v>
      </c>
      <c r="G18" s="60">
        <v>2</v>
      </c>
      <c r="H18" s="60">
        <v>2</v>
      </c>
      <c r="I18" s="60">
        <v>2</v>
      </c>
      <c r="J18" s="60">
        <v>1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3</v>
      </c>
      <c r="S18" s="60">
        <v>2</v>
      </c>
      <c r="T18" s="60">
        <v>2</v>
      </c>
      <c r="U18" s="60">
        <v>2</v>
      </c>
      <c r="V18" s="60">
        <v>1</v>
      </c>
      <c r="W18" s="60">
        <v>1</v>
      </c>
      <c r="X18" s="60">
        <v>1</v>
      </c>
      <c r="Y18" s="60">
        <v>1</v>
      </c>
      <c r="Z18" s="63"/>
      <c r="AA18" s="63"/>
      <c r="AB18" s="63"/>
      <c r="AC18" s="63"/>
      <c r="AD18" s="63"/>
      <c r="AE18" s="63"/>
      <c r="AG18" s="50" t="s">
        <v>467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  <c r="BB18" s="60">
        <v>11</v>
      </c>
      <c r="BC18" s="60">
        <v>11</v>
      </c>
      <c r="BD18" s="60">
        <v>11</v>
      </c>
      <c r="BE18" s="60">
        <v>11</v>
      </c>
    </row>
    <row r="19" spans="1:57" x14ac:dyDescent="0.25">
      <c r="A19" s="50" t="s">
        <v>474</v>
      </c>
      <c r="B19" s="60">
        <v>4</v>
      </c>
      <c r="C19" s="60">
        <v>3</v>
      </c>
      <c r="D19" s="60">
        <v>3</v>
      </c>
      <c r="E19" s="60">
        <v>4</v>
      </c>
      <c r="F19" s="60">
        <v>7</v>
      </c>
      <c r="G19" s="60">
        <v>10</v>
      </c>
      <c r="H19" s="60">
        <v>13</v>
      </c>
      <c r="I19" s="60">
        <v>15</v>
      </c>
      <c r="J19" s="60">
        <v>16</v>
      </c>
      <c r="K19" s="60">
        <v>16</v>
      </c>
      <c r="L19" s="60">
        <v>16</v>
      </c>
      <c r="M19" s="60">
        <v>16</v>
      </c>
      <c r="N19" s="60">
        <v>16</v>
      </c>
      <c r="O19" s="60">
        <v>16</v>
      </c>
      <c r="P19" s="60">
        <v>16</v>
      </c>
      <c r="Q19" s="60">
        <v>16</v>
      </c>
      <c r="R19" s="60">
        <v>11</v>
      </c>
      <c r="S19" s="60">
        <v>9</v>
      </c>
      <c r="T19" s="60">
        <v>7</v>
      </c>
      <c r="U19" s="60">
        <v>5</v>
      </c>
      <c r="V19" s="60">
        <v>3</v>
      </c>
      <c r="W19" s="60">
        <v>1</v>
      </c>
      <c r="X19" s="60">
        <v>2</v>
      </c>
      <c r="Y19" s="60">
        <v>4</v>
      </c>
      <c r="Z19" s="63"/>
      <c r="AA19" s="63"/>
      <c r="AB19" s="63"/>
      <c r="AC19" s="63"/>
      <c r="AD19" s="63"/>
      <c r="AE19" s="63"/>
      <c r="AG19" s="50" t="s">
        <v>468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  <c r="BB19" s="60">
        <v>11</v>
      </c>
      <c r="BC19" s="60">
        <v>11</v>
      </c>
      <c r="BD19" s="60">
        <v>11</v>
      </c>
      <c r="BE19" s="60">
        <v>11</v>
      </c>
    </row>
    <row r="20" spans="1:57" x14ac:dyDescent="0.25">
      <c r="A20" s="50" t="s">
        <v>475</v>
      </c>
      <c r="B20" s="60">
        <v>20</v>
      </c>
      <c r="C20" s="60">
        <v>21</v>
      </c>
      <c r="D20" s="60">
        <v>20</v>
      </c>
      <c r="E20" s="60">
        <v>19</v>
      </c>
      <c r="F20" s="162">
        <v>16</v>
      </c>
      <c r="G20" s="162">
        <v>13</v>
      </c>
      <c r="H20" s="162">
        <v>10</v>
      </c>
      <c r="I20" s="162">
        <v>8</v>
      </c>
      <c r="J20" s="162">
        <v>7</v>
      </c>
      <c r="K20" s="162">
        <v>5</v>
      </c>
      <c r="L20" s="162">
        <v>3</v>
      </c>
      <c r="M20" s="162">
        <v>2</v>
      </c>
      <c r="N20" s="162">
        <v>1</v>
      </c>
      <c r="O20" s="162">
        <v>0</v>
      </c>
      <c r="P20" s="162">
        <v>0</v>
      </c>
      <c r="Q20" s="162">
        <v>0</v>
      </c>
      <c r="R20" s="60">
        <v>1</v>
      </c>
      <c r="S20" s="60">
        <v>3</v>
      </c>
      <c r="T20" s="60">
        <v>6</v>
      </c>
      <c r="U20" s="60">
        <v>9</v>
      </c>
      <c r="V20" s="60">
        <v>12</v>
      </c>
      <c r="W20" s="60">
        <v>15</v>
      </c>
      <c r="X20" s="60">
        <v>17</v>
      </c>
      <c r="Y20" s="60">
        <v>18</v>
      </c>
      <c r="Z20" s="63"/>
      <c r="AA20" s="63"/>
      <c r="AB20" s="63"/>
      <c r="AC20" s="63"/>
      <c r="AD20" s="63"/>
      <c r="AE20" s="63"/>
      <c r="AG20" s="50"/>
      <c r="AH20" s="60"/>
      <c r="AI20" s="60"/>
      <c r="AJ20" s="60"/>
      <c r="AK20" s="60"/>
      <c r="AL20" s="159"/>
      <c r="AM20" s="159"/>
      <c r="AN20" s="159"/>
      <c r="AO20" s="159"/>
      <c r="AP20" s="159"/>
      <c r="AQ20" s="159"/>
      <c r="AR20" s="159"/>
      <c r="AS20" s="159"/>
      <c r="AT20" s="159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</row>
    <row r="21" spans="1:57" x14ac:dyDescent="0.25">
      <c r="A21" s="163" t="s">
        <v>478</v>
      </c>
      <c r="B21" s="155">
        <f>SUM(B17:B20)</f>
        <v>25</v>
      </c>
      <c r="C21" s="155">
        <f t="shared" ref="C21:Y21" si="0">SUM(C17:C20)</f>
        <v>25</v>
      </c>
      <c r="D21" s="155">
        <f t="shared" si="0"/>
        <v>25</v>
      </c>
      <c r="E21" s="155">
        <f t="shared" si="0"/>
        <v>25</v>
      </c>
      <c r="F21" s="155">
        <f t="shared" si="0"/>
        <v>25</v>
      </c>
      <c r="G21" s="155">
        <f t="shared" si="0"/>
        <v>25</v>
      </c>
      <c r="H21" s="155">
        <f t="shared" si="0"/>
        <v>25</v>
      </c>
      <c r="I21" s="155">
        <f t="shared" si="0"/>
        <v>25</v>
      </c>
      <c r="J21" s="155">
        <f t="shared" si="0"/>
        <v>24</v>
      </c>
      <c r="K21" s="155">
        <f t="shared" si="0"/>
        <v>24</v>
      </c>
      <c r="L21" s="155">
        <f t="shared" si="0"/>
        <v>23</v>
      </c>
      <c r="M21" s="155">
        <f t="shared" si="0"/>
        <v>23</v>
      </c>
      <c r="N21" s="155">
        <f t="shared" si="0"/>
        <v>23</v>
      </c>
      <c r="O21" s="155">
        <f t="shared" si="0"/>
        <v>23</v>
      </c>
      <c r="P21" s="155">
        <f t="shared" si="0"/>
        <v>23</v>
      </c>
      <c r="Q21" s="155">
        <f t="shared" si="0"/>
        <v>23</v>
      </c>
      <c r="R21" s="155">
        <f t="shared" si="0"/>
        <v>22</v>
      </c>
      <c r="S21" s="155">
        <f t="shared" si="0"/>
        <v>21</v>
      </c>
      <c r="T21" s="155">
        <f t="shared" si="0"/>
        <v>22</v>
      </c>
      <c r="U21" s="155">
        <f t="shared" si="0"/>
        <v>23</v>
      </c>
      <c r="V21" s="155">
        <f t="shared" si="0"/>
        <v>23</v>
      </c>
      <c r="W21" s="155">
        <f t="shared" si="0"/>
        <v>24</v>
      </c>
      <c r="X21" s="155">
        <f t="shared" si="0"/>
        <v>25</v>
      </c>
      <c r="Y21" s="155">
        <f t="shared" si="0"/>
        <v>25</v>
      </c>
      <c r="Z21" s="63"/>
      <c r="AA21" s="63"/>
      <c r="AB21" s="63"/>
      <c r="AC21" s="63"/>
      <c r="AD21" s="63"/>
      <c r="AE21" s="63"/>
      <c r="AG21" s="50" t="s">
        <v>158</v>
      </c>
      <c r="AH21" s="60"/>
      <c r="AI21" s="60"/>
      <c r="AJ21" s="60"/>
      <c r="AK21" s="60"/>
      <c r="AL21" s="159"/>
      <c r="AM21" s="159"/>
      <c r="AN21" s="159"/>
      <c r="AO21" s="159"/>
      <c r="AP21" s="159"/>
      <c r="AQ21" s="159"/>
      <c r="AR21" s="159"/>
      <c r="AS21" s="159"/>
      <c r="AT21" s="15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</row>
    <row r="22" spans="1:57" x14ac:dyDescent="0.25">
      <c r="A22" s="50" t="s">
        <v>473</v>
      </c>
      <c r="B22" s="60">
        <v>0</v>
      </c>
      <c r="C22" s="60">
        <v>0</v>
      </c>
      <c r="D22" s="60">
        <v>0</v>
      </c>
      <c r="E22" s="60">
        <v>1</v>
      </c>
      <c r="F22" s="60">
        <v>2</v>
      </c>
      <c r="G22" s="60">
        <v>4</v>
      </c>
      <c r="H22" s="60">
        <v>5</v>
      </c>
      <c r="I22" s="60">
        <v>6</v>
      </c>
      <c r="J22" s="60">
        <v>6</v>
      </c>
      <c r="K22" s="60">
        <v>6</v>
      </c>
      <c r="L22" s="60">
        <v>6</v>
      </c>
      <c r="M22" s="60">
        <v>6</v>
      </c>
      <c r="N22" s="60">
        <v>6</v>
      </c>
      <c r="O22" s="60">
        <v>6</v>
      </c>
      <c r="P22" s="60">
        <v>6</v>
      </c>
      <c r="Q22" s="60">
        <v>6</v>
      </c>
      <c r="R22" s="60">
        <v>6</v>
      </c>
      <c r="S22" s="60">
        <v>6</v>
      </c>
      <c r="T22" s="60">
        <v>5</v>
      </c>
      <c r="U22" s="60">
        <v>4</v>
      </c>
      <c r="V22" s="60">
        <v>3</v>
      </c>
      <c r="W22" s="60">
        <v>2</v>
      </c>
      <c r="X22" s="60">
        <v>1</v>
      </c>
      <c r="Y22" s="60">
        <v>0</v>
      </c>
      <c r="Z22" s="63"/>
      <c r="AA22" s="63"/>
      <c r="AD22" s="63"/>
      <c r="AE22" s="63"/>
      <c r="AG22" s="50" t="s">
        <v>159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</row>
    <row r="23" spans="1:57" x14ac:dyDescent="0.25">
      <c r="A23" s="50" t="s">
        <v>467</v>
      </c>
      <c r="B23" s="60">
        <v>6</v>
      </c>
      <c r="C23" s="60">
        <v>6</v>
      </c>
      <c r="D23" s="60">
        <v>6</v>
      </c>
      <c r="E23" s="60">
        <v>6</v>
      </c>
      <c r="F23" s="60">
        <v>6</v>
      </c>
      <c r="G23" s="60">
        <v>6</v>
      </c>
      <c r="H23" s="60">
        <v>6</v>
      </c>
      <c r="I23" s="60">
        <v>6</v>
      </c>
      <c r="J23" s="60">
        <v>6</v>
      </c>
      <c r="K23" s="60">
        <v>6</v>
      </c>
      <c r="L23" s="60">
        <v>6</v>
      </c>
      <c r="M23" s="60">
        <v>6</v>
      </c>
      <c r="N23" s="60">
        <v>6</v>
      </c>
      <c r="O23" s="60">
        <v>6</v>
      </c>
      <c r="P23" s="60">
        <v>6</v>
      </c>
      <c r="Q23" s="60">
        <v>6</v>
      </c>
      <c r="R23" s="60">
        <v>6</v>
      </c>
      <c r="S23" s="60">
        <v>6</v>
      </c>
      <c r="T23" s="60">
        <v>6</v>
      </c>
      <c r="U23" s="60">
        <v>6</v>
      </c>
      <c r="V23" s="60">
        <v>6</v>
      </c>
      <c r="W23" s="60">
        <v>6</v>
      </c>
      <c r="X23" s="60">
        <v>6</v>
      </c>
      <c r="Y23" s="60">
        <v>6</v>
      </c>
      <c r="Z23" s="63"/>
      <c r="AA23" s="63"/>
      <c r="AD23" s="63"/>
      <c r="AE23" s="63"/>
      <c r="AG23" s="50" t="s">
        <v>160</v>
      </c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</row>
    <row r="24" spans="1:57" x14ac:dyDescent="0.25">
      <c r="A24" s="50" t="s">
        <v>468</v>
      </c>
      <c r="B24" s="60">
        <v>6</v>
      </c>
      <c r="C24" s="60">
        <v>6</v>
      </c>
      <c r="D24" s="60">
        <v>6</v>
      </c>
      <c r="E24" s="60">
        <v>6</v>
      </c>
      <c r="F24" s="60">
        <v>6</v>
      </c>
      <c r="G24" s="60">
        <v>6</v>
      </c>
      <c r="H24" s="60">
        <v>6</v>
      </c>
      <c r="I24" s="60">
        <v>6</v>
      </c>
      <c r="J24" s="60">
        <v>6</v>
      </c>
      <c r="K24" s="60">
        <v>6</v>
      </c>
      <c r="L24" s="60">
        <v>6</v>
      </c>
      <c r="M24" s="60">
        <v>6</v>
      </c>
      <c r="N24" s="60">
        <v>6</v>
      </c>
      <c r="O24" s="60">
        <v>6</v>
      </c>
      <c r="P24" s="60">
        <v>6</v>
      </c>
      <c r="Q24" s="60">
        <v>6</v>
      </c>
      <c r="R24" s="60">
        <v>6</v>
      </c>
      <c r="S24" s="60">
        <v>6</v>
      </c>
      <c r="T24" s="60">
        <v>6</v>
      </c>
      <c r="U24" s="60">
        <v>6</v>
      </c>
      <c r="V24" s="60">
        <v>6</v>
      </c>
      <c r="W24" s="60">
        <v>6</v>
      </c>
      <c r="X24" s="60">
        <v>6</v>
      </c>
      <c r="Y24" s="60">
        <v>6</v>
      </c>
      <c r="Z24" s="63"/>
      <c r="AA24" s="63"/>
      <c r="AD24" s="63"/>
      <c r="AE24" s="63"/>
      <c r="AG24" s="50" t="s">
        <v>161</v>
      </c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</row>
    <row r="25" spans="1:57" x14ac:dyDescent="0.25">
      <c r="A25" s="50" t="s">
        <v>162</v>
      </c>
      <c r="B25" s="60">
        <f>SUM(B21:B24)</f>
        <v>37</v>
      </c>
      <c r="C25" s="60">
        <f t="shared" ref="C25:Y25" si="1">SUM(C21:C24)</f>
        <v>37</v>
      </c>
      <c r="D25" s="60">
        <f t="shared" si="1"/>
        <v>37</v>
      </c>
      <c r="E25" s="60">
        <f t="shared" si="1"/>
        <v>38</v>
      </c>
      <c r="F25" s="60">
        <f t="shared" si="1"/>
        <v>39</v>
      </c>
      <c r="G25" s="60">
        <f t="shared" si="1"/>
        <v>41</v>
      </c>
      <c r="H25" s="60">
        <f t="shared" si="1"/>
        <v>42</v>
      </c>
      <c r="I25" s="60">
        <f t="shared" si="1"/>
        <v>43</v>
      </c>
      <c r="J25" s="60">
        <f t="shared" si="1"/>
        <v>42</v>
      </c>
      <c r="K25" s="60">
        <f t="shared" si="1"/>
        <v>42</v>
      </c>
      <c r="L25" s="60">
        <f t="shared" si="1"/>
        <v>41</v>
      </c>
      <c r="M25" s="60">
        <f t="shared" si="1"/>
        <v>41</v>
      </c>
      <c r="N25" s="60">
        <f t="shared" si="1"/>
        <v>41</v>
      </c>
      <c r="O25" s="60">
        <f t="shared" si="1"/>
        <v>41</v>
      </c>
      <c r="P25" s="60">
        <f t="shared" si="1"/>
        <v>41</v>
      </c>
      <c r="Q25" s="60">
        <f t="shared" si="1"/>
        <v>41</v>
      </c>
      <c r="R25" s="60">
        <f t="shared" si="1"/>
        <v>40</v>
      </c>
      <c r="S25" s="60">
        <f t="shared" si="1"/>
        <v>39</v>
      </c>
      <c r="T25" s="60">
        <f t="shared" si="1"/>
        <v>39</v>
      </c>
      <c r="U25" s="60">
        <f t="shared" si="1"/>
        <v>39</v>
      </c>
      <c r="V25" s="60">
        <f t="shared" si="1"/>
        <v>38</v>
      </c>
      <c r="W25" s="60">
        <f t="shared" si="1"/>
        <v>38</v>
      </c>
      <c r="X25" s="60">
        <f t="shared" si="1"/>
        <v>38</v>
      </c>
      <c r="Y25" s="60">
        <f t="shared" si="1"/>
        <v>37</v>
      </c>
      <c r="Z25" s="63"/>
      <c r="AA25" s="63"/>
      <c r="AD25" s="63"/>
      <c r="AE25" s="63"/>
      <c r="AG25" s="50" t="s">
        <v>162</v>
      </c>
      <c r="AH25" s="60">
        <f>SUM(AH16:AH24)</f>
        <v>58</v>
      </c>
      <c r="AI25" s="60">
        <f t="shared" ref="AI25:BE25" si="2">SUM(AI16:AI24)</f>
        <v>60</v>
      </c>
      <c r="AJ25" s="60">
        <f t="shared" si="2"/>
        <v>63</v>
      </c>
      <c r="AK25" s="60">
        <f t="shared" si="2"/>
        <v>67</v>
      </c>
      <c r="AL25" s="60">
        <f t="shared" si="2"/>
        <v>67</v>
      </c>
      <c r="AM25" s="60">
        <f t="shared" si="2"/>
        <v>67</v>
      </c>
      <c r="AN25" s="60">
        <f t="shared" si="2"/>
        <v>67</v>
      </c>
      <c r="AO25" s="60">
        <f t="shared" si="2"/>
        <v>67</v>
      </c>
      <c r="AP25" s="60">
        <f t="shared" si="2"/>
        <v>67</v>
      </c>
      <c r="AQ25" s="60">
        <f t="shared" si="2"/>
        <v>67</v>
      </c>
      <c r="AR25" s="60">
        <f t="shared" si="2"/>
        <v>67</v>
      </c>
      <c r="AS25" s="60">
        <f t="shared" si="2"/>
        <v>67</v>
      </c>
      <c r="AT25" s="60">
        <f t="shared" si="2"/>
        <v>67</v>
      </c>
      <c r="AU25" s="60">
        <f t="shared" si="2"/>
        <v>67</v>
      </c>
      <c r="AV25" s="60">
        <f t="shared" si="2"/>
        <v>66</v>
      </c>
      <c r="AW25" s="60">
        <f t="shared" si="2"/>
        <v>65</v>
      </c>
      <c r="AX25" s="60">
        <f t="shared" si="2"/>
        <v>64</v>
      </c>
      <c r="AY25" s="60">
        <f t="shared" si="2"/>
        <v>64</v>
      </c>
      <c r="AZ25" s="60">
        <f t="shared" si="2"/>
        <v>62</v>
      </c>
      <c r="BA25" s="60">
        <f t="shared" si="2"/>
        <v>61</v>
      </c>
      <c r="BB25" s="60">
        <f t="shared" si="2"/>
        <v>59</v>
      </c>
      <c r="BC25" s="60">
        <f t="shared" si="2"/>
        <v>58</v>
      </c>
      <c r="BD25" s="60">
        <f t="shared" si="2"/>
        <v>57</v>
      </c>
      <c r="BE25" s="60">
        <f t="shared" si="2"/>
        <v>56</v>
      </c>
    </row>
    <row r="26" spans="1:57" x14ac:dyDescent="0.25">
      <c r="A26" s="52" t="s">
        <v>479</v>
      </c>
      <c r="B26">
        <f>B21+B24</f>
        <v>31</v>
      </c>
      <c r="C26">
        <f t="shared" ref="C26:Y26" si="3">C21+C24</f>
        <v>31</v>
      </c>
      <c r="D26">
        <f t="shared" si="3"/>
        <v>31</v>
      </c>
      <c r="E26">
        <f t="shared" si="3"/>
        <v>31</v>
      </c>
      <c r="F26">
        <f t="shared" si="3"/>
        <v>31</v>
      </c>
      <c r="G26">
        <f t="shared" si="3"/>
        <v>31</v>
      </c>
      <c r="H26">
        <f t="shared" si="3"/>
        <v>31</v>
      </c>
      <c r="I26">
        <f t="shared" si="3"/>
        <v>31</v>
      </c>
      <c r="J26">
        <f t="shared" si="3"/>
        <v>30</v>
      </c>
      <c r="K26">
        <f t="shared" si="3"/>
        <v>30</v>
      </c>
      <c r="L26">
        <f t="shared" si="3"/>
        <v>29</v>
      </c>
      <c r="M26">
        <f t="shared" si="3"/>
        <v>29</v>
      </c>
      <c r="N26">
        <f t="shared" si="3"/>
        <v>29</v>
      </c>
      <c r="O26">
        <f t="shared" si="3"/>
        <v>29</v>
      </c>
      <c r="P26">
        <f t="shared" si="3"/>
        <v>29</v>
      </c>
      <c r="Q26">
        <f t="shared" si="3"/>
        <v>29</v>
      </c>
      <c r="R26">
        <f t="shared" si="3"/>
        <v>28</v>
      </c>
      <c r="S26">
        <f t="shared" si="3"/>
        <v>27</v>
      </c>
      <c r="T26">
        <f t="shared" si="3"/>
        <v>28</v>
      </c>
      <c r="U26">
        <f t="shared" si="3"/>
        <v>29</v>
      </c>
      <c r="V26">
        <f t="shared" si="3"/>
        <v>29</v>
      </c>
      <c r="W26">
        <f t="shared" si="3"/>
        <v>30</v>
      </c>
      <c r="X26">
        <f t="shared" si="3"/>
        <v>31</v>
      </c>
      <c r="Y26">
        <f t="shared" si="3"/>
        <v>31</v>
      </c>
      <c r="AH26">
        <f>AH16+AH19</f>
        <v>45</v>
      </c>
      <c r="AI26">
        <f t="shared" ref="AI26:BE26" si="4">AI16+AI19</f>
        <v>45</v>
      </c>
      <c r="AJ26">
        <f t="shared" si="4"/>
        <v>45</v>
      </c>
      <c r="AK26">
        <f t="shared" si="4"/>
        <v>45</v>
      </c>
      <c r="AL26">
        <f t="shared" si="4"/>
        <v>45</v>
      </c>
      <c r="AM26">
        <f t="shared" si="4"/>
        <v>45</v>
      </c>
      <c r="AN26">
        <f t="shared" si="4"/>
        <v>45</v>
      </c>
      <c r="AO26">
        <f t="shared" si="4"/>
        <v>45</v>
      </c>
      <c r="AP26">
        <f t="shared" si="4"/>
        <v>45</v>
      </c>
      <c r="AQ26">
        <f t="shared" si="4"/>
        <v>45</v>
      </c>
      <c r="AR26">
        <f t="shared" si="4"/>
        <v>45</v>
      </c>
      <c r="AS26">
        <f t="shared" si="4"/>
        <v>45</v>
      </c>
      <c r="AT26">
        <f t="shared" si="4"/>
        <v>45</v>
      </c>
      <c r="AU26">
        <f t="shared" si="4"/>
        <v>45</v>
      </c>
      <c r="AV26">
        <f t="shared" si="4"/>
        <v>44</v>
      </c>
      <c r="AW26">
        <f t="shared" si="4"/>
        <v>43</v>
      </c>
      <c r="AX26">
        <f t="shared" si="4"/>
        <v>43</v>
      </c>
      <c r="AY26">
        <f t="shared" si="4"/>
        <v>43</v>
      </c>
      <c r="AZ26">
        <f t="shared" si="4"/>
        <v>43</v>
      </c>
      <c r="BA26">
        <f t="shared" si="4"/>
        <v>44</v>
      </c>
      <c r="BB26">
        <f t="shared" si="4"/>
        <v>45</v>
      </c>
      <c r="BC26">
        <f t="shared" si="4"/>
        <v>46</v>
      </c>
      <c r="BD26">
        <f t="shared" si="4"/>
        <v>46</v>
      </c>
      <c r="BE26">
        <f t="shared" si="4"/>
        <v>45</v>
      </c>
    </row>
    <row r="27" spans="1:57" x14ac:dyDescent="0.25">
      <c r="A27" s="52" t="s">
        <v>480</v>
      </c>
      <c r="B27">
        <f>B22+B23+B24</f>
        <v>12</v>
      </c>
      <c r="C27">
        <f t="shared" ref="C27:Y27" si="5">C22+C23+C24</f>
        <v>12</v>
      </c>
      <c r="D27">
        <f t="shared" si="5"/>
        <v>12</v>
      </c>
      <c r="E27">
        <f t="shared" si="5"/>
        <v>13</v>
      </c>
      <c r="F27">
        <f t="shared" si="5"/>
        <v>14</v>
      </c>
      <c r="G27">
        <f t="shared" si="5"/>
        <v>16</v>
      </c>
      <c r="H27">
        <f t="shared" si="5"/>
        <v>17</v>
      </c>
      <c r="I27">
        <f t="shared" si="5"/>
        <v>18</v>
      </c>
      <c r="J27">
        <f t="shared" si="5"/>
        <v>18</v>
      </c>
      <c r="K27">
        <f t="shared" si="5"/>
        <v>18</v>
      </c>
      <c r="L27">
        <f t="shared" si="5"/>
        <v>18</v>
      </c>
      <c r="M27">
        <f t="shared" si="5"/>
        <v>18</v>
      </c>
      <c r="N27">
        <f t="shared" si="5"/>
        <v>18</v>
      </c>
      <c r="O27">
        <f t="shared" si="5"/>
        <v>18</v>
      </c>
      <c r="P27">
        <f t="shared" si="5"/>
        <v>18</v>
      </c>
      <c r="Q27">
        <f t="shared" si="5"/>
        <v>18</v>
      </c>
      <c r="R27">
        <f t="shared" si="5"/>
        <v>18</v>
      </c>
      <c r="S27">
        <f t="shared" si="5"/>
        <v>18</v>
      </c>
      <c r="T27">
        <f t="shared" si="5"/>
        <v>17</v>
      </c>
      <c r="U27">
        <f t="shared" si="5"/>
        <v>16</v>
      </c>
      <c r="V27">
        <f t="shared" si="5"/>
        <v>15</v>
      </c>
      <c r="W27">
        <f t="shared" si="5"/>
        <v>14</v>
      </c>
      <c r="X27">
        <f t="shared" si="5"/>
        <v>13</v>
      </c>
      <c r="Y27">
        <f t="shared" si="5"/>
        <v>12</v>
      </c>
    </row>
    <row r="28" spans="1:57" x14ac:dyDescent="0.25">
      <c r="A28" s="55" t="s">
        <v>482</v>
      </c>
    </row>
    <row r="29" spans="1:57" x14ac:dyDescent="0.25">
      <c r="A29" s="50" t="s">
        <v>444</v>
      </c>
      <c r="B29">
        <f>B20</f>
        <v>20</v>
      </c>
      <c r="C29">
        <f t="shared" ref="C29:Y29" si="6">C20</f>
        <v>21</v>
      </c>
      <c r="D29">
        <f t="shared" si="6"/>
        <v>20</v>
      </c>
      <c r="E29">
        <f t="shared" si="6"/>
        <v>19</v>
      </c>
      <c r="F29">
        <f t="shared" si="6"/>
        <v>16</v>
      </c>
      <c r="G29">
        <f t="shared" si="6"/>
        <v>13</v>
      </c>
      <c r="H29">
        <f t="shared" si="6"/>
        <v>10</v>
      </c>
      <c r="I29">
        <f t="shared" si="6"/>
        <v>8</v>
      </c>
      <c r="J29">
        <f t="shared" si="6"/>
        <v>7</v>
      </c>
      <c r="K29" s="164">
        <f>K20</f>
        <v>5</v>
      </c>
      <c r="L29" s="164">
        <f t="shared" ref="L29:S29" si="7">L20</f>
        <v>3</v>
      </c>
      <c r="M29" s="164">
        <f t="shared" si="7"/>
        <v>2</v>
      </c>
      <c r="N29" s="164">
        <f t="shared" si="7"/>
        <v>1</v>
      </c>
      <c r="O29" s="164">
        <f t="shared" si="7"/>
        <v>0</v>
      </c>
      <c r="P29" s="164">
        <f t="shared" si="7"/>
        <v>0</v>
      </c>
      <c r="Q29" s="164">
        <f t="shared" si="7"/>
        <v>0</v>
      </c>
      <c r="R29" s="164">
        <f t="shared" si="7"/>
        <v>1</v>
      </c>
      <c r="S29" s="164">
        <f t="shared" si="7"/>
        <v>3</v>
      </c>
      <c r="T29">
        <f t="shared" si="6"/>
        <v>6</v>
      </c>
      <c r="U29">
        <f t="shared" si="6"/>
        <v>9</v>
      </c>
      <c r="V29">
        <f t="shared" si="6"/>
        <v>12</v>
      </c>
      <c r="W29">
        <f t="shared" si="6"/>
        <v>15</v>
      </c>
      <c r="X29">
        <f t="shared" si="6"/>
        <v>17</v>
      </c>
      <c r="Y29">
        <f t="shared" si="6"/>
        <v>18</v>
      </c>
    </row>
    <row r="30" spans="1:57" x14ac:dyDescent="0.25">
      <c r="A30" s="50" t="s">
        <v>445</v>
      </c>
      <c r="B30">
        <f>B19+B18+B17+B23+B22+B24</f>
        <v>17</v>
      </c>
      <c r="C30">
        <f t="shared" ref="C30:Y30" si="8">C19+C18+C17+C23+C22+C24</f>
        <v>16</v>
      </c>
      <c r="D30">
        <f t="shared" si="8"/>
        <v>17</v>
      </c>
      <c r="E30">
        <f t="shared" si="8"/>
        <v>19</v>
      </c>
      <c r="F30">
        <f t="shared" si="8"/>
        <v>23</v>
      </c>
      <c r="G30">
        <f t="shared" si="8"/>
        <v>28</v>
      </c>
      <c r="H30">
        <f t="shared" si="8"/>
        <v>32</v>
      </c>
      <c r="I30" s="164">
        <f>I19+I18+I17+I22</f>
        <v>23</v>
      </c>
      <c r="J30" s="164">
        <f>J19+J18+J17+J22</f>
        <v>23</v>
      </c>
      <c r="K30" s="164">
        <f>K18+K23+K22</f>
        <v>13</v>
      </c>
      <c r="L30" s="164">
        <f t="shared" ref="L30:S30" si="9">L18+L23+L22</f>
        <v>12</v>
      </c>
      <c r="M30" s="164">
        <f>M18+M22</f>
        <v>6</v>
      </c>
      <c r="N30" s="164">
        <f>N18+N22</f>
        <v>6</v>
      </c>
      <c r="O30" s="164">
        <f t="shared" si="9"/>
        <v>12</v>
      </c>
      <c r="P30" s="164">
        <f t="shared" si="9"/>
        <v>12</v>
      </c>
      <c r="Q30" s="164">
        <f t="shared" si="9"/>
        <v>12</v>
      </c>
      <c r="R30" s="164">
        <f t="shared" si="9"/>
        <v>15</v>
      </c>
      <c r="S30" s="164">
        <f t="shared" si="9"/>
        <v>14</v>
      </c>
      <c r="T30">
        <f t="shared" si="8"/>
        <v>33</v>
      </c>
      <c r="U30">
        <f t="shared" si="8"/>
        <v>30</v>
      </c>
      <c r="V30">
        <f t="shared" si="8"/>
        <v>26</v>
      </c>
      <c r="W30">
        <f t="shared" si="8"/>
        <v>23</v>
      </c>
      <c r="X30">
        <f t="shared" si="8"/>
        <v>21</v>
      </c>
      <c r="Y30">
        <f t="shared" si="8"/>
        <v>19</v>
      </c>
    </row>
    <row r="31" spans="1:57" x14ac:dyDescent="0.25">
      <c r="A31" s="50" t="s">
        <v>446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f>I23+I24</f>
        <v>12</v>
      </c>
      <c r="J31">
        <f>J23+J24</f>
        <v>12</v>
      </c>
      <c r="K31">
        <v>0</v>
      </c>
      <c r="L31">
        <v>0</v>
      </c>
      <c r="M31">
        <f>M23</f>
        <v>6</v>
      </c>
      <c r="N31">
        <f>N23</f>
        <v>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57" x14ac:dyDescent="0.25">
      <c r="A32" s="50" t="s">
        <v>447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K17+K19+K24</f>
        <v>24</v>
      </c>
      <c r="L32">
        <f t="shared" ref="L32:S32" si="10">L17+L19+L24</f>
        <v>26</v>
      </c>
      <c r="M32">
        <f t="shared" si="10"/>
        <v>27</v>
      </c>
      <c r="N32">
        <f t="shared" si="10"/>
        <v>28</v>
      </c>
      <c r="O32">
        <f t="shared" si="10"/>
        <v>29</v>
      </c>
      <c r="P32">
        <f t="shared" si="10"/>
        <v>29</v>
      </c>
      <c r="Q32">
        <f t="shared" si="10"/>
        <v>29</v>
      </c>
      <c r="R32">
        <f t="shared" si="10"/>
        <v>24</v>
      </c>
      <c r="S32">
        <f t="shared" si="10"/>
        <v>22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52"/>
    </row>
    <row r="34" spans="1:25" x14ac:dyDescent="0.25">
      <c r="A34" s="55" t="s">
        <v>481</v>
      </c>
    </row>
    <row r="35" spans="1:25" x14ac:dyDescent="0.25">
      <c r="A35" s="50" t="s">
        <v>444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</row>
    <row r="36" spans="1:25" x14ac:dyDescent="0.25">
      <c r="A36" s="50" t="s">
        <v>445</v>
      </c>
      <c r="B36">
        <f>((B19+B18+B17)*0.85+B23*0.6+B22*0.35+B24*0.8)/B30</f>
        <v>0.74411764705882355</v>
      </c>
      <c r="C36">
        <f t="shared" ref="C36:G36" si="11">((C19+C18+C17)*0.85+C23*0.6+C22*0.35+C24*0.8)/C30</f>
        <v>0.73750000000000004</v>
      </c>
      <c r="D36">
        <f t="shared" si="11"/>
        <v>0.74411764705882355</v>
      </c>
      <c r="E36">
        <f t="shared" si="11"/>
        <v>0.72894736842105257</v>
      </c>
      <c r="F36">
        <f t="shared" si="11"/>
        <v>0.72826086956521741</v>
      </c>
      <c r="G36">
        <f t="shared" si="11"/>
        <v>0.7142857142857143</v>
      </c>
      <c r="H36">
        <f>((H19+H18+H17)*0.85+H23*0.6+H22*0.35+H24*0.8)/H30</f>
        <v>0.71562500000000007</v>
      </c>
      <c r="I36" s="165">
        <f>((I19+I18+I17)*0.85+I22*0.35)/I30</f>
        <v>0.71956521739130419</v>
      </c>
      <c r="J36">
        <f>((J19+J18+J17)*0.85+J22*0.35)/J30</f>
        <v>0.71956521739130419</v>
      </c>
      <c r="K36">
        <f>(K18*0.85+K23*0.6+K22*0.35)/K30</f>
        <v>0.50384615384615372</v>
      </c>
      <c r="L36">
        <f>(L18*0.85+L23*0.6+L22*0.35)/L30</f>
        <v>0.47499999999999992</v>
      </c>
      <c r="M36">
        <f>(M18*0.85+M22*0.35)/M30</f>
        <v>0.34999999999999992</v>
      </c>
      <c r="N36">
        <f>(N18*0.85+N22*0.35)/N30</f>
        <v>0.34999999999999992</v>
      </c>
      <c r="O36">
        <f>(O18*0.85+O23*0.6+O22*0.35)/O30</f>
        <v>0.47499999999999992</v>
      </c>
      <c r="P36">
        <f t="shared" ref="P36:S36" si="12">(P18*0.85+P23*0.6+P22*0.35)/P30</f>
        <v>0.47499999999999992</v>
      </c>
      <c r="Q36">
        <f t="shared" si="12"/>
        <v>0.47499999999999992</v>
      </c>
      <c r="R36">
        <f t="shared" si="12"/>
        <v>0.55000000000000004</v>
      </c>
      <c r="S36">
        <f t="shared" si="12"/>
        <v>0.52857142857142858</v>
      </c>
      <c r="T36">
        <f>((T19+T18+T17)*0.85+T23*0.6+T22*0.35+T24*0.8)/T30</f>
        <v>0.71969696969696972</v>
      </c>
      <c r="U36">
        <f t="shared" ref="U36:Y36" si="13">((U19+U18+U17)*0.85+U23*0.6+U22*0.35+U24*0.8)/U30</f>
        <v>0.72333333333333327</v>
      </c>
      <c r="V36">
        <f t="shared" si="13"/>
        <v>0.72307692307692306</v>
      </c>
      <c r="W36">
        <f t="shared" si="13"/>
        <v>0.72826086956521741</v>
      </c>
      <c r="X36">
        <f t="shared" si="13"/>
        <v>0.7404761904761904</v>
      </c>
      <c r="Y36">
        <f t="shared" si="13"/>
        <v>0.75526315789473697</v>
      </c>
    </row>
    <row r="37" spans="1:25" x14ac:dyDescent="0.25">
      <c r="A37" s="50" t="s">
        <v>446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(I23*0.6+I24*0.8)/I31</f>
        <v>0.70000000000000007</v>
      </c>
      <c r="J37">
        <f>(J23*0.6+J24*0.8)/J31</f>
        <v>0.70000000000000007</v>
      </c>
      <c r="K37">
        <v>0</v>
      </c>
      <c r="L37">
        <v>0</v>
      </c>
      <c r="M37">
        <f>M23*0.6/M31</f>
        <v>0.6</v>
      </c>
      <c r="N37">
        <f>N23*0.6/N31</f>
        <v>0.6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50" t="s">
        <v>447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>((K17+K19)*0.85+K24*0.8)/K32</f>
        <v>0.83750000000000002</v>
      </c>
      <c r="L38">
        <f t="shared" ref="L38:S38" si="14">((L17+L19)*0.85+L24*0.8)/L32</f>
        <v>0.83846153846153848</v>
      </c>
      <c r="M38">
        <f t="shared" si="14"/>
        <v>0.8388888888888888</v>
      </c>
      <c r="N38">
        <f t="shared" si="14"/>
        <v>0.8392857142857143</v>
      </c>
      <c r="O38">
        <f t="shared" si="14"/>
        <v>0.83965517241379317</v>
      </c>
      <c r="P38">
        <f t="shared" si="14"/>
        <v>0.83965517241379317</v>
      </c>
      <c r="Q38">
        <f t="shared" si="14"/>
        <v>0.83965517241379317</v>
      </c>
      <c r="R38">
        <f t="shared" si="14"/>
        <v>0.83750000000000002</v>
      </c>
      <c r="S38">
        <f t="shared" si="14"/>
        <v>0.83636363636363631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52"/>
    </row>
    <row r="40" spans="1:25" x14ac:dyDescent="0.25">
      <c r="A40" s="52"/>
    </row>
    <row r="41" spans="1:25" x14ac:dyDescent="0.25">
      <c r="A41" s="52"/>
    </row>
    <row r="42" spans="1:25" x14ac:dyDescent="0.25">
      <c r="A42" s="52" t="s">
        <v>472</v>
      </c>
    </row>
    <row r="43" spans="1:25" x14ac:dyDescent="0.25">
      <c r="A43" t="s">
        <v>442</v>
      </c>
      <c r="B43" s="286" t="s">
        <v>2</v>
      </c>
      <c r="C43" s="286"/>
      <c r="D43" s="286" t="s">
        <v>0</v>
      </c>
      <c r="E43" s="286"/>
      <c r="F43" s="286" t="s">
        <v>1</v>
      </c>
      <c r="G43" s="286"/>
      <c r="H43" s="286" t="s">
        <v>3</v>
      </c>
      <c r="I43" s="286"/>
      <c r="J43" s="286" t="s">
        <v>4</v>
      </c>
      <c r="K43" s="286"/>
      <c r="L43" s="286" t="s">
        <v>5</v>
      </c>
      <c r="M43" s="286"/>
      <c r="N43" s="286" t="s">
        <v>6</v>
      </c>
      <c r="O43" s="286"/>
      <c r="P43" s="286" t="s">
        <v>7</v>
      </c>
      <c r="Q43" s="286"/>
      <c r="R43" s="286" t="s">
        <v>8</v>
      </c>
      <c r="S43" s="286"/>
      <c r="T43" s="286" t="s">
        <v>9</v>
      </c>
      <c r="U43" s="286"/>
      <c r="V43" s="286" t="s">
        <v>10</v>
      </c>
      <c r="W43" s="286"/>
      <c r="X43" s="286" t="s">
        <v>11</v>
      </c>
      <c r="Y43" s="286"/>
    </row>
    <row r="44" spans="1:25" x14ac:dyDescent="0.25">
      <c r="B44" s="156">
        <v>1</v>
      </c>
      <c r="C44" s="156">
        <v>2</v>
      </c>
      <c r="D44" s="156">
        <v>3</v>
      </c>
      <c r="E44" s="156">
        <v>4</v>
      </c>
      <c r="F44" s="156">
        <v>5</v>
      </c>
      <c r="G44" s="156">
        <v>6</v>
      </c>
      <c r="H44" s="156">
        <v>7</v>
      </c>
      <c r="I44" s="156">
        <v>8</v>
      </c>
      <c r="J44" s="156">
        <v>9</v>
      </c>
      <c r="K44" s="156">
        <v>10</v>
      </c>
      <c r="L44" s="156">
        <v>11</v>
      </c>
      <c r="M44" s="156">
        <v>12</v>
      </c>
      <c r="N44" s="156">
        <v>13</v>
      </c>
      <c r="O44" s="156">
        <v>14</v>
      </c>
      <c r="P44" s="156">
        <v>15</v>
      </c>
      <c r="Q44" s="156">
        <v>16</v>
      </c>
      <c r="R44" s="156">
        <v>17</v>
      </c>
      <c r="S44" s="156">
        <v>18</v>
      </c>
      <c r="T44" s="156">
        <v>19</v>
      </c>
      <c r="U44" s="156">
        <v>20</v>
      </c>
      <c r="V44" s="156">
        <v>21</v>
      </c>
      <c r="W44" s="156">
        <v>22</v>
      </c>
      <c r="X44" s="156">
        <v>23</v>
      </c>
      <c r="Y44" s="156">
        <v>24</v>
      </c>
    </row>
    <row r="45" spans="1:25" x14ac:dyDescent="0.25">
      <c r="A45" t="s">
        <v>174</v>
      </c>
      <c r="B45" s="156">
        <v>15.5</v>
      </c>
      <c r="C45" s="156">
        <v>15.5</v>
      </c>
      <c r="D45" s="156">
        <v>14</v>
      </c>
      <c r="E45" s="156">
        <v>14</v>
      </c>
      <c r="F45" s="156">
        <v>15.5</v>
      </c>
      <c r="G45" s="156">
        <v>15.5</v>
      </c>
      <c r="H45" s="156">
        <v>15</v>
      </c>
      <c r="I45" s="156">
        <v>15</v>
      </c>
      <c r="J45" s="156">
        <v>15.5</v>
      </c>
      <c r="K45" s="156">
        <v>15.5</v>
      </c>
      <c r="L45" s="156">
        <v>15</v>
      </c>
      <c r="M45" s="156">
        <v>15</v>
      </c>
      <c r="N45" s="156">
        <v>15.5</v>
      </c>
      <c r="O45" s="156">
        <v>15.5</v>
      </c>
      <c r="P45" s="156">
        <v>15.5</v>
      </c>
      <c r="Q45" s="156">
        <v>15.5</v>
      </c>
      <c r="R45" s="156">
        <v>15</v>
      </c>
      <c r="S45" s="156">
        <v>15</v>
      </c>
      <c r="T45" s="156">
        <v>15.5</v>
      </c>
      <c r="U45" s="156">
        <v>15.5</v>
      </c>
      <c r="V45" s="156">
        <v>15</v>
      </c>
      <c r="W45" s="156">
        <v>15</v>
      </c>
      <c r="X45" s="156">
        <v>15.5</v>
      </c>
      <c r="Y45" s="156">
        <v>15.5</v>
      </c>
    </row>
    <row r="46" spans="1:25" x14ac:dyDescent="0.25">
      <c r="A46" s="2" t="s">
        <v>325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</row>
    <row r="47" spans="1:25" x14ac:dyDescent="0.25">
      <c r="A47" s="51" t="s">
        <v>326</v>
      </c>
      <c r="B47" s="60">
        <v>1</v>
      </c>
      <c r="C47" s="60">
        <v>1</v>
      </c>
      <c r="D47" s="60">
        <v>1</v>
      </c>
      <c r="E47" s="60">
        <v>1</v>
      </c>
      <c r="F47" s="60">
        <v>1</v>
      </c>
      <c r="G47" s="60">
        <v>1</v>
      </c>
      <c r="H47" s="60">
        <v>1</v>
      </c>
      <c r="I47" s="60">
        <v>1</v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>
        <v>1</v>
      </c>
      <c r="W47" s="60">
        <v>1</v>
      </c>
      <c r="X47" s="60">
        <v>1</v>
      </c>
      <c r="Y47" s="60">
        <v>1</v>
      </c>
    </row>
    <row r="48" spans="1:25" x14ac:dyDescent="0.25">
      <c r="A48" s="51" t="s">
        <v>327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136" t="s">
        <v>329</v>
      </c>
      <c r="B49" s="60">
        <v>1</v>
      </c>
      <c r="C49" s="60">
        <v>1</v>
      </c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/>
      <c r="J49" s="60"/>
      <c r="K49" s="60"/>
      <c r="L49" s="60"/>
      <c r="M49" s="60"/>
      <c r="N49" s="60"/>
      <c r="O49" s="60"/>
      <c r="P49" s="60"/>
      <c r="Q49" s="60">
        <v>1</v>
      </c>
      <c r="R49" s="60">
        <v>1</v>
      </c>
      <c r="S49" s="60">
        <v>1</v>
      </c>
      <c r="T49" s="60">
        <v>1</v>
      </c>
      <c r="U49" s="60">
        <v>1</v>
      </c>
      <c r="V49" s="60">
        <v>1</v>
      </c>
      <c r="W49" s="60">
        <v>1</v>
      </c>
      <c r="X49" s="60">
        <v>1</v>
      </c>
      <c r="Y49" s="60">
        <v>1</v>
      </c>
    </row>
    <row r="50" spans="1:25" x14ac:dyDescent="0.25">
      <c r="A50" s="51" t="s">
        <v>328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1" t="s">
        <v>443</v>
      </c>
      <c r="B51" s="60">
        <v>1</v>
      </c>
      <c r="C51" s="60">
        <v>1</v>
      </c>
      <c r="D51" s="60">
        <v>1</v>
      </c>
      <c r="E51" s="60">
        <v>1</v>
      </c>
      <c r="F51" s="60">
        <v>1</v>
      </c>
      <c r="G51" s="60">
        <v>1</v>
      </c>
      <c r="H51" s="60">
        <v>1</v>
      </c>
      <c r="I51" s="60">
        <v>1</v>
      </c>
      <c r="J51" s="60">
        <v>1</v>
      </c>
      <c r="K51" s="60">
        <v>1</v>
      </c>
      <c r="L51" s="60">
        <v>1</v>
      </c>
      <c r="M51" s="60">
        <v>1</v>
      </c>
      <c r="N51" s="60">
        <v>1</v>
      </c>
      <c r="O51" s="60">
        <v>1</v>
      </c>
      <c r="P51" s="60">
        <v>1</v>
      </c>
      <c r="Q51" s="60"/>
      <c r="R51" s="60"/>
      <c r="S51" s="60"/>
      <c r="T51" s="60"/>
      <c r="U51" s="60"/>
      <c r="V51" s="60"/>
      <c r="W51" s="60"/>
      <c r="X51" s="60">
        <v>1</v>
      </c>
      <c r="Y51" s="60">
        <v>1</v>
      </c>
    </row>
    <row r="52" spans="1:25" x14ac:dyDescent="0.25">
      <c r="A52" s="51" t="s">
        <v>438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</row>
    <row r="53" spans="1:25" x14ac:dyDescent="0.25">
      <c r="A53" s="51" t="s">
        <v>165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x14ac:dyDescent="0.25">
      <c r="A54" s="51" t="s">
        <v>166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</sheetData>
  <mergeCells count="36">
    <mergeCell ref="X43:Y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D2:BE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2023-01-09T10:13:19Z</dcterms:modified>
</cp:coreProperties>
</file>