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4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K138" i="33" s="1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BJ28" i="30" s="1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D17" i="30" s="1"/>
  <c r="F17" i="30" s="1"/>
  <c r="C252" i="33" s="1"/>
  <c r="D252" i="33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N28" i="30"/>
  <c r="BM28" i="30"/>
  <c r="BL28" i="30"/>
  <c r="BE28" i="30"/>
  <c r="BD28" i="30"/>
  <c r="BB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Z171" i="31" l="1"/>
  <c r="T171" i="31"/>
  <c r="Y171" i="31"/>
  <c r="X171" i="31"/>
  <c r="Z171" i="28"/>
  <c r="T171" i="28"/>
  <c r="U171" i="28" s="1"/>
  <c r="Y171" i="28"/>
  <c r="AB171" i="28" s="1"/>
  <c r="X171" i="28"/>
  <c r="AA171" i="28" s="1"/>
  <c r="S3" i="29"/>
  <c r="V71" i="29"/>
  <c r="AY27" i="30"/>
  <c r="BF27" i="30"/>
  <c r="AW28" i="30"/>
  <c r="BF28" i="30"/>
  <c r="BO28" i="30"/>
  <c r="BH29" i="30"/>
  <c r="BG27" i="30"/>
  <c r="AX28" i="30"/>
  <c r="BG28" i="30"/>
  <c r="BP28" i="30"/>
  <c r="BL27" i="30"/>
  <c r="AY28" i="30"/>
  <c r="BH28" i="30"/>
  <c r="BH73" i="30" s="1"/>
  <c r="BQ28" i="30"/>
  <c r="BD27" i="30"/>
  <c r="BN27" i="30"/>
  <c r="AZ28" i="30"/>
  <c r="BI28" i="30"/>
  <c r="BR28" i="30"/>
  <c r="AV27" i="30"/>
  <c r="BA28" i="30"/>
  <c r="BA73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K113" i="31" s="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AC167" i="31" s="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AB188" i="28" s="1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AB199" i="28" s="1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AC194" i="28" s="1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S4" i="29"/>
  <c r="S8" i="29" s="1"/>
  <c r="S20" i="29"/>
  <c r="S21" i="29" s="1"/>
  <c r="S7" i="29" s="1"/>
  <c r="S12" i="29" s="1"/>
  <c r="AC171" i="28"/>
  <c r="AB171" i="31"/>
  <c r="AA171" i="31"/>
  <c r="AC171" i="31"/>
  <c r="V165" i="31"/>
  <c r="AC189" i="31"/>
  <c r="K110" i="31"/>
  <c r="AA186" i="28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BR74" i="30" s="1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AZ63" i="30" s="1"/>
  <c r="AZ109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9" i="29" s="1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M72" i="30" s="1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8" i="29" s="1"/>
  <c r="C33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73" i="30"/>
  <c r="BR73" i="30"/>
  <c r="BR62" i="30"/>
  <c r="BR108" i="30" s="1"/>
  <c r="DI73" i="30"/>
  <c r="DQ73" i="30"/>
  <c r="DY73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73" i="30"/>
  <c r="CY73" i="30"/>
  <c r="DK73" i="30"/>
  <c r="DS73" i="30"/>
  <c r="EA73" i="30"/>
  <c r="BB74" i="30"/>
  <c r="BB63" i="30"/>
  <c r="BB109" i="30" s="1"/>
  <c r="BJ74" i="30"/>
  <c r="BJ63" i="30"/>
  <c r="BJ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W29" i="28"/>
  <c r="AC178" i="28"/>
  <c r="K73" i="28"/>
  <c r="AP7" i="29" s="1"/>
  <c r="Y30" i="28"/>
  <c r="X30" i="28"/>
  <c r="AC30" i="28"/>
  <c r="Z30" i="28"/>
  <c r="W30" i="28"/>
  <c r="AB30" i="28"/>
  <c r="AA30" i="28"/>
  <c r="AC31" i="28"/>
  <c r="AA198" i="28"/>
  <c r="Y24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W27" i="28"/>
  <c r="Y29" i="28"/>
  <c r="AB31" i="28"/>
  <c r="AC32" i="28"/>
  <c r="AB33" i="28"/>
  <c r="AA174" i="28"/>
  <c r="AB26" i="28"/>
  <c r="AF201" i="28"/>
  <c r="U201" i="28"/>
  <c r="AG201" i="28"/>
  <c r="AJ201" i="28"/>
  <c r="W201" i="28"/>
  <c r="V201" i="28"/>
  <c r="AC205" i="28"/>
  <c r="AC202" i="28"/>
  <c r="AA182" i="28"/>
  <c r="T14" i="7"/>
  <c r="T13" i="7"/>
  <c r="T12" i="7"/>
  <c r="T11" i="7"/>
  <c r="CF108" i="30" l="1"/>
  <c r="CL108" i="30"/>
  <c r="CQ108" i="30"/>
  <c r="CL107" i="30"/>
  <c r="CR107" i="30"/>
  <c r="CW107" i="30"/>
  <c r="CP106" i="30"/>
  <c r="AF188" i="31"/>
  <c r="CM108" i="30"/>
  <c r="CS108" i="30"/>
  <c r="CU107" i="30"/>
  <c r="CG107" i="30"/>
  <c r="CH106" i="30"/>
  <c r="CM106" i="30"/>
  <c r="CQ107" i="30"/>
  <c r="CR106" i="30"/>
  <c r="CW106" i="30"/>
  <c r="CR108" i="30"/>
  <c r="CK107" i="30"/>
  <c r="BI106" i="30"/>
  <c r="BN108" i="30"/>
  <c r="BM106" i="30"/>
  <c r="CU108" i="30"/>
  <c r="CI108" i="30"/>
  <c r="CO107" i="30"/>
  <c r="CU106" i="30"/>
  <c r="BH106" i="30"/>
  <c r="BH108" i="30"/>
  <c r="BF106" i="30"/>
  <c r="BA106" i="30"/>
  <c r="BF108" i="30"/>
  <c r="BL106" i="30"/>
  <c r="BM108" i="30"/>
  <c r="BL108" i="30"/>
  <c r="BJ106" i="30"/>
  <c r="BE106" i="30"/>
  <c r="AZ106" i="30"/>
  <c r="BD107" i="30"/>
  <c r="CW108" i="30"/>
  <c r="CH108" i="30"/>
  <c r="CS107" i="30"/>
  <c r="CN107" i="30"/>
  <c r="CT106" i="30"/>
  <c r="CJ106" i="30"/>
  <c r="CO106" i="30"/>
  <c r="BC107" i="30"/>
  <c r="AV107" i="30"/>
  <c r="CJ108" i="30"/>
  <c r="CM107" i="30"/>
  <c r="CP107" i="30"/>
  <c r="CS106" i="30"/>
  <c r="CQ106" i="30"/>
  <c r="CV106" i="30"/>
  <c r="BB106" i="30"/>
  <c r="CD108" i="30"/>
  <c r="AX107" i="30"/>
  <c r="AY107" i="30"/>
  <c r="BJ108" i="30"/>
  <c r="CV108" i="30"/>
  <c r="CT108" i="30"/>
  <c r="CT107" i="30"/>
  <c r="CH107" i="30"/>
  <c r="Y26" i="28"/>
  <c r="X26" i="28"/>
  <c r="X34" i="28" s="1"/>
  <c r="K35" i="28" s="1"/>
  <c r="C91" i="33" s="1"/>
  <c r="AA26" i="28"/>
  <c r="Z26" i="28"/>
  <c r="AI197" i="31"/>
  <c r="W26" i="28"/>
  <c r="AF173" i="31"/>
  <c r="P72" i="30"/>
  <c r="N72" i="30"/>
  <c r="V72" i="30"/>
  <c r="R8" i="29"/>
  <c r="R201" i="29" s="1"/>
  <c r="R72" i="30"/>
  <c r="N8" i="29"/>
  <c r="O8" i="29"/>
  <c r="O201" i="29" s="1"/>
  <c r="S72" i="30"/>
  <c r="O72" i="30"/>
  <c r="AC72" i="30"/>
  <c r="Y8" i="29"/>
  <c r="Y201" i="29" s="1"/>
  <c r="T72" i="30"/>
  <c r="P8" i="29"/>
  <c r="P201" i="29" s="1"/>
  <c r="U8" i="29"/>
  <c r="U201" i="29" s="1"/>
  <c r="Y72" i="30"/>
  <c r="E8" i="29"/>
  <c r="E201" i="29" s="1"/>
  <c r="E212" i="29" s="1"/>
  <c r="I72" i="30"/>
  <c r="T8" i="29"/>
  <c r="T201" i="29" s="1"/>
  <c r="X72" i="30"/>
  <c r="D8" i="29"/>
  <c r="D201" i="29" s="1"/>
  <c r="H72" i="30"/>
  <c r="Z72" i="30"/>
  <c r="F8" i="29"/>
  <c r="F201" i="29" s="1"/>
  <c r="J72" i="30"/>
  <c r="L72" i="30"/>
  <c r="H8" i="29"/>
  <c r="H201" i="29" s="1"/>
  <c r="AA72" i="30"/>
  <c r="G8" i="29"/>
  <c r="K72" i="30"/>
  <c r="W72" i="30"/>
  <c r="M8" i="29"/>
  <c r="M201" i="29" s="1"/>
  <c r="Q72" i="30"/>
  <c r="X8" i="29"/>
  <c r="AB72" i="30"/>
  <c r="U72" i="30"/>
  <c r="Q8" i="29"/>
  <c r="AD72" i="30"/>
  <c r="Z8" i="29"/>
  <c r="G72" i="30"/>
  <c r="C8" i="29"/>
  <c r="C201" i="29" s="1"/>
  <c r="C212" i="29" s="1"/>
  <c r="AB25" i="28"/>
  <c r="AB34" i="28" s="1"/>
  <c r="K32" i="28" s="1"/>
  <c r="C89" i="33" s="1"/>
  <c r="Z25" i="28"/>
  <c r="BR63" i="30"/>
  <c r="BR109" i="30" s="1"/>
  <c r="AZ74" i="30"/>
  <c r="AC25" i="28"/>
  <c r="AC34" i="28" s="1"/>
  <c r="K39" i="28" s="1"/>
  <c r="C96" i="33" s="1"/>
  <c r="W25" i="28"/>
  <c r="Y25" i="28"/>
  <c r="Y34" i="28" s="1"/>
  <c r="K36" i="28" s="1"/>
  <c r="C92" i="33" s="1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N201" i="29"/>
  <c r="Q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BB83" i="30" s="1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71" i="28" l="1"/>
  <c r="W34" i="28"/>
  <c r="K34" i="28" s="1"/>
  <c r="C90" i="33" s="1"/>
  <c r="F72" i="30"/>
  <c r="C11" i="29"/>
  <c r="C13" i="29" s="1"/>
  <c r="BD81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BD85" i="30"/>
  <c r="K48" i="28"/>
  <c r="BA85" i="30"/>
  <c r="CQ85" i="30"/>
  <c r="C71" i="33"/>
  <c r="C74" i="33" s="1"/>
  <c r="CM85" i="30"/>
  <c r="CM87" i="30" s="1"/>
  <c r="CR85" i="30"/>
  <c r="CR86" i="30" s="1"/>
  <c r="BC85" i="30"/>
  <c r="BC86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K227" i="33" l="1"/>
  <c r="AO227" i="33" s="1"/>
  <c r="AJ219" i="33"/>
  <c r="AN219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C277" i="33"/>
  <c r="D277" i="33" s="1"/>
  <c r="C193" i="33"/>
  <c r="D193" i="33" s="1"/>
  <c r="X245" i="31"/>
  <c r="C189" i="33"/>
  <c r="D189" i="33" s="1"/>
  <c r="AK189" i="33" s="1"/>
  <c r="AO189" i="33" s="1"/>
  <c r="AO192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J141" i="31" l="1"/>
  <c r="C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AZ76" i="33"/>
  <c r="AZ152" i="33"/>
  <c r="AV76" i="33"/>
  <c r="AV152" i="33"/>
  <c r="AY76" i="33"/>
  <c r="AY152" i="33"/>
  <c r="BS76" i="33"/>
  <c r="BS152" i="33"/>
  <c r="BB76" i="33"/>
  <c r="BB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52" i="33"/>
  <c r="AV78" i="33"/>
  <c r="AV154" i="33"/>
  <c r="BB78" i="33"/>
  <c r="BB154" i="33"/>
  <c r="BP78" i="33"/>
  <c r="BP154" i="33"/>
  <c r="AX78" i="33"/>
  <c r="AX154" i="33"/>
  <c r="BR78" i="33"/>
  <c r="BR154" i="33"/>
  <c r="AW78" i="33"/>
  <c r="AW154" i="33"/>
  <c r="AY78" i="33"/>
  <c r="AY154" i="33"/>
  <c r="BA78" i="33"/>
  <c r="BA154" i="33"/>
  <c r="BO78" i="33"/>
  <c r="BO154" i="33"/>
  <c r="BC78" i="33"/>
  <c r="BC154" i="33"/>
  <c r="BQ78" i="33"/>
  <c r="BQ154" i="33"/>
  <c r="AZ78" i="33"/>
  <c r="AZ154" i="33"/>
  <c r="BD78" i="33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P160" i="33" l="1"/>
  <c r="BP161" i="33" s="1"/>
  <c r="BP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B83" i="30"/>
  <c r="F84" i="30" s="1"/>
  <c r="AK26" i="29"/>
  <c r="C184" i="33" s="1"/>
  <c r="D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F83" i="30"/>
  <c r="B167" i="31" s="1"/>
  <c r="J167" i="31" s="1"/>
  <c r="C235" i="33" s="1"/>
  <c r="C236" i="33" s="1"/>
  <c r="C185" i="33"/>
  <c r="D185" i="33" s="1"/>
  <c r="D183" i="33" s="1"/>
  <c r="X234" i="31"/>
  <c r="X237" i="31" s="1"/>
  <c r="Z237" i="31" s="1"/>
  <c r="AX39" i="23"/>
  <c r="AX37" i="23"/>
  <c r="AT38" i="23"/>
  <c r="AT37" i="23"/>
  <c r="AV39" i="23"/>
  <c r="AV37" i="23"/>
  <c r="AU39" i="23"/>
  <c r="AU37" i="23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C192" i="33"/>
  <c r="C307" i="33"/>
  <c r="J170" i="31"/>
  <c r="W172" i="18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<sst xmlns="http://schemas.openxmlformats.org/spreadsheetml/2006/main" count="3128" uniqueCount="1467">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</sst>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62.915000000000006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6.314740701652175</v>
      </c>
      <c r="M5" s="143">
        <f>CdTrp1!H215+CdTrp2!H215+CdTrp3!H215+CdTrp4!H215</f>
        <v>8.7923638721739135</v>
      </c>
      <c r="N5" s="143">
        <f>CdTrp1!I215+CdTrp2!I215+CdTrp3!I215+CdTrp4!I215</f>
        <v>6.2197025556521766</v>
      </c>
      <c r="O5" s="143">
        <f>CdTrp1!J215+CdTrp2!J215+CdTrp3!J215+CdTrp4!J215</f>
        <v>6.3615882466956526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173.18710948213044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0.83194969565217392</v>
      </c>
      <c r="H6" s="143">
        <f>CdTrp1!C216+CdTrp2!C216+CdTrp3!C216+CdTrp4!C216</f>
        <v>0.83194969565217392</v>
      </c>
      <c r="I6" s="143">
        <f>CdTrp1!D216+CdTrp2!D216+CdTrp3!D216+CdTrp4!D216</f>
        <v>0.75143843478260874</v>
      </c>
      <c r="J6" s="143">
        <f>CdTrp1!E216+CdTrp2!E216+CdTrp3!E216+CdTrp4!E216</f>
        <v>0.75143843478260874</v>
      </c>
      <c r="K6" s="143">
        <f>CdTrp1!F216+CdTrp2!F216+CdTrp3!F216+CdTrp4!F216</f>
        <v>2.2537336956521736</v>
      </c>
      <c r="L6" s="143">
        <f>CdTrp1!G216+CdTrp2!G216+CdTrp3!G216+CdTrp4!G216</f>
        <v>2.3129746956521737</v>
      </c>
      <c r="M6" s="143">
        <f>CdTrp1!H216+CdTrp2!H216+CdTrp3!H216+CdTrp4!H216</f>
        <v>2.1810326086956522</v>
      </c>
      <c r="N6" s="143">
        <f>CdTrp1!I216+CdTrp2!I216+CdTrp3!I216+CdTrp4!I216</f>
        <v>4.7265728086956518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0.83194969565217392</v>
      </c>
      <c r="AA6" s="143">
        <f>CdTrp1!V216+CdTrp2!V216+CdTrp3!V216+CdTrp4!V216</f>
        <v>0.80511260869565215</v>
      </c>
      <c r="AB6" s="143">
        <f>CdTrp1!W216+CdTrp2!W216+CdTrp3!W216+CdTrp4!W216</f>
        <v>0.80511260869565215</v>
      </c>
      <c r="AC6" s="143">
        <f>CdTrp1!X216+CdTrp2!X216+CdTrp3!X216+CdTrp4!X216</f>
        <v>0.83194969565217392</v>
      </c>
      <c r="AD6" s="143">
        <f>CdTrp1!Y216+CdTrp2!Y216+CdTrp3!Y216+CdTrp4!Y216</f>
        <v>0.83194969565217392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8.6277153973043497</v>
      </c>
      <c r="M8" s="143">
        <f t="shared" si="0"/>
        <v>10.973396480869566</v>
      </c>
      <c r="N8" s="143">
        <f t="shared" si="0"/>
        <v>10.946275364347828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8.9564843230434796</v>
      </c>
      <c r="AA8" s="143">
        <f t="shared" si="0"/>
        <v>3.7834502086956521</v>
      </c>
      <c r="AB8" s="143">
        <f t="shared" si="0"/>
        <v>3.7849496086956522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108.46741796647827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22</v>
      </c>
      <c r="H18" s="158">
        <f>G18/G17</f>
        <v>0.45360824742268041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19</v>
      </c>
      <c r="H19" s="158">
        <f>G19/G17</f>
        <v>0.39175257731958762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D1" zoomScale="80" zoomScaleNormal="80" workbookViewId="0">
      <selection activeCell="R11" sqref="R11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8.6277153973043497</v>
      </c>
      <c r="AY5" s="13">
        <f>'Conduite Trp'!M8</f>
        <v>10.973396480869566</v>
      </c>
      <c r="AZ5" s="13">
        <f>'Conduite Trp'!N8</f>
        <v>10.946275364347828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8.9564843230434796</v>
      </c>
      <c r="BM5" s="13">
        <f>'Conduite Trp'!AA8</f>
        <v>3.7834502086956521</v>
      </c>
      <c r="BN5" s="13">
        <f>'Conduite Trp'!AB8</f>
        <v>3.7849496086956522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10.973396480869566</v>
      </c>
      <c r="AZ7" s="61">
        <f t="shared" si="7"/>
        <v>10.946275364347828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54.028862275043487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62.915000000000006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62.915000000000006</v>
      </c>
      <c r="G9" s="81"/>
      <c r="H9" s="61">
        <f>SUM(L34:L43)</f>
        <v>9</v>
      </c>
      <c r="I9" s="81"/>
      <c r="J9" s="81"/>
      <c r="K9" s="93">
        <f>H9-F9</f>
        <v>-53.915000000000006</v>
      </c>
      <c r="L9" s="81"/>
      <c r="M9" s="100"/>
      <c r="P9">
        <v>3</v>
      </c>
      <c r="Q9" s="39">
        <v>228</v>
      </c>
      <c r="R9" s="39">
        <v>0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8.6277153973043497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8.9564843230434796</v>
      </c>
      <c r="BM9" s="61">
        <f t="shared" si="10"/>
        <v>3.7834502086956521</v>
      </c>
      <c r="BN9" s="61">
        <f t="shared" si="10"/>
        <v>3.7849496086956522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43.486697778391303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7.5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3.75</v>
      </c>
      <c r="AF10" s="61">
        <f t="shared" si="1"/>
        <v>5.25</v>
      </c>
      <c r="AG10" s="61">
        <f t="shared" si="2"/>
        <v>14.25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21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/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6.314740701652175</v>
      </c>
      <c r="AY15" s="13">
        <f>'Conduite Trp'!M5</f>
        <v>8.7923638721739135</v>
      </c>
      <c r="AZ15" s="13">
        <f>'Conduite Trp'!N5</f>
        <v>6.2197025556521766</v>
      </c>
      <c r="BA15" s="13">
        <f>'Conduite Trp'!O5</f>
        <v>6.3615882466956526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0.83194969565217392</v>
      </c>
      <c r="AT16" s="13">
        <f>'Conduite Trp'!H6</f>
        <v>0.83194969565217392</v>
      </c>
      <c r="AU16" s="13">
        <f>'Conduite Trp'!I6</f>
        <v>0.75143843478260874</v>
      </c>
      <c r="AV16" s="13">
        <f>'Conduite Trp'!J6</f>
        <v>0.75143843478260874</v>
      </c>
      <c r="AW16" s="13">
        <f>'Conduite Trp'!K6</f>
        <v>2.2537336956521736</v>
      </c>
      <c r="AX16" s="13">
        <f>'Conduite Trp'!L6</f>
        <v>2.3129746956521737</v>
      </c>
      <c r="AY16" s="13">
        <f>'Conduite Trp'!M6</f>
        <v>2.1810326086956522</v>
      </c>
      <c r="AZ16" s="13">
        <f>'Conduite Trp'!N6</f>
        <v>4.7265728086956518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0.83194969565217392</v>
      </c>
      <c r="BM16" s="13">
        <f>'Conduite Trp'!AA6</f>
        <v>0.80511260869565215</v>
      </c>
      <c r="BN16" s="13">
        <f>'Conduite Trp'!AB6</f>
        <v>0.80511260869565215</v>
      </c>
      <c r="BO16" s="13">
        <f>'Conduite Trp'!AC6</f>
        <v>0.83194969565217392</v>
      </c>
      <c r="BP16" s="13">
        <f>'Conduite Trp'!AD6</f>
        <v>0.83194969565217392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8.7923638721739135</v>
      </c>
      <c r="AZ19" s="61">
        <f t="shared" si="15"/>
        <v>6.2197025556521766</v>
      </c>
      <c r="BA19" s="61">
        <f t="shared" si="15"/>
        <v>6.3615882466956526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35.542210662000009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6.314740701652175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27.473514821869568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55.888620000000003</v>
      </c>
      <c r="E24" s="61">
        <f t="shared" si="21"/>
        <v>10.877000000000001</v>
      </c>
      <c r="F24" s="61">
        <f t="shared" si="21"/>
        <v>62.758000000000003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141.50141600000001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54.028862275043487</v>
      </c>
      <c r="E25" s="61">
        <f>BR8</f>
        <v>10.951857913043478</v>
      </c>
      <c r="F25" s="61">
        <f>BR9</f>
        <v>43.486697778391303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1.8597577249565163</v>
      </c>
      <c r="E27" s="93">
        <f t="shared" si="23"/>
        <v>-7.4857913043476998E-2</v>
      </c>
      <c r="F27" s="93">
        <f t="shared" si="23"/>
        <v>19.2713022216087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-22.598583999999988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36.93</v>
      </c>
      <c r="AF27" s="75">
        <f t="shared" ref="AF27:AJ27" si="24">SUM(AF7:AF26)</f>
        <v>5.25</v>
      </c>
      <c r="AG27" s="75">
        <f t="shared" si="24"/>
        <v>39.194000000000003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95.268000000000001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2.1810326086956522</v>
      </c>
      <c r="AZ27" s="61">
        <f t="shared" si="25"/>
        <v>4.7265728086956518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18.486651613043477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1.3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4.55</v>
      </c>
      <c r="AF29" s="61">
        <f t="shared" ref="AF29:AF48" si="29">$R29*W29</f>
        <v>3.3800000000000003</v>
      </c>
      <c r="AG29" s="61">
        <f t="shared" ref="AG29:AG48" si="30">$R29*X29</f>
        <v>1.9500000000000002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0.83194969565217392</v>
      </c>
      <c r="AT29" s="61">
        <f t="shared" ref="AT29:BP29" si="35">IF(AT$4=3,AT$16,0)</f>
        <v>0.83194969565217392</v>
      </c>
      <c r="AU29" s="61">
        <f t="shared" si="35"/>
        <v>0.75143843478260874</v>
      </c>
      <c r="AV29" s="61">
        <f t="shared" si="35"/>
        <v>0.75143843478260874</v>
      </c>
      <c r="AW29" s="61">
        <f t="shared" si="35"/>
        <v>2.2537336956521736</v>
      </c>
      <c r="AX29" s="61">
        <f t="shared" si="35"/>
        <v>2.3129746956521737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0.83194969565217392</v>
      </c>
      <c r="BM29" s="61">
        <f t="shared" si="35"/>
        <v>0.80511260869565215</v>
      </c>
      <c r="BN29" s="61">
        <f t="shared" si="35"/>
        <v>0.80511260869565215</v>
      </c>
      <c r="BO29" s="61">
        <f t="shared" si="35"/>
        <v>0.83194969565217392</v>
      </c>
      <c r="BP29" s="61">
        <f t="shared" si="35"/>
        <v>0.83194969565217392</v>
      </c>
      <c r="BR29" s="61">
        <f t="shared" si="27"/>
        <v>16.013182956521735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2.7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7.4536200000000008</v>
      </c>
      <c r="AF32" s="61">
        <f t="shared" si="29"/>
        <v>0</v>
      </c>
      <c r="AG32" s="61">
        <f t="shared" si="30"/>
        <v>5.7780000000000005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10.816416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18.958620000000003</v>
      </c>
      <c r="AF49" s="75">
        <f t="shared" ref="AF49" si="50">SUM(AF29:AF48)</f>
        <v>5.6270000000000007</v>
      </c>
      <c r="AG49" s="75">
        <f t="shared" ref="AG49" si="51">SUM(AG29:AG48)</f>
        <v>23.564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46.233416000000005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36.93</v>
      </c>
      <c r="E72" s="61">
        <f t="shared" ref="E72:H72" si="69">AF27</f>
        <v>5.25</v>
      </c>
      <c r="F72" s="61">
        <f t="shared" si="69"/>
        <v>39.194000000000003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141.50141600000001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35.542210662000009</v>
      </c>
      <c r="E73" s="61">
        <f>BR20</f>
        <v>5.2647219130434788</v>
      </c>
      <c r="F73" s="61">
        <f>BR21</f>
        <v>27.473514821869568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1.3877893379999904</v>
      </c>
      <c r="E75" s="93">
        <f t="shared" ref="E75:I75" si="71">E72-E73</f>
        <v>-1.4721913043478807E-2</v>
      </c>
      <c r="F75" s="93">
        <f t="shared" si="71"/>
        <v>11.720485178130435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-22.598583999999988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18.958620000000003</v>
      </c>
      <c r="E82" s="61">
        <f t="shared" ref="E82:H82" si="72">AF49</f>
        <v>5.6270000000000007</v>
      </c>
      <c r="F82" s="61">
        <f t="shared" si="72"/>
        <v>23.564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18.486651613043477</v>
      </c>
      <c r="E83" s="61">
        <f>BR28</f>
        <v>5.6871359999999989</v>
      </c>
      <c r="F83" s="61">
        <f>BR29</f>
        <v>16.013182956521735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0.47196838695652588</v>
      </c>
      <c r="E85" s="93">
        <f t="shared" ref="E85:H85" si="73">E82-E83</f>
        <v>-6.0135999999998191E-2</v>
      </c>
      <c r="F85" s="93">
        <f t="shared" si="73"/>
        <v>7.5508170434782649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0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1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31.7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14.7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0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7.5</v>
      </c>
      <c r="T167" s="173">
        <f>VLOOKUP(R167,[1]MEP!$A$4:$M$300,13)</f>
        <v>1</v>
      </c>
      <c r="U167" s="173">
        <f t="shared" si="10"/>
        <v>7.5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7.5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7.5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</v>
      </c>
      <c r="T171" s="173">
        <f>VLOOKUP(R171,[1]MEP!$A$4:$M$300,13)</f>
        <v>2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1.3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1.3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1.3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2.7</v>
      </c>
      <c r="T189" s="173">
        <f>VLOOKUP(R189,[1]MEP!$A$4:$M$300,13)</f>
        <v>2</v>
      </c>
      <c r="U189" s="173">
        <f t="shared" si="10"/>
        <v>2.7</v>
      </c>
      <c r="V189" s="173">
        <f t="shared" si="11"/>
        <v>2.7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2.7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2.7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31.7</v>
      </c>
      <c r="V228" s="62">
        <f t="shared" ref="V228:W228" si="22">SUM(V164:V227)</f>
        <v>14.7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1.3</v>
      </c>
      <c r="AI228" s="62">
        <f t="shared" si="24"/>
        <v>17</v>
      </c>
      <c r="AJ228" s="62">
        <f t="shared" si="24"/>
        <v>5.7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3" sqref="A13:XFD1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1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1</v>
      </c>
      <c r="D4" s="177">
        <f t="shared" ref="D4:Z4" si="1">COUNTIF(D81:D90,2)</f>
        <v>1</v>
      </c>
      <c r="E4" s="177">
        <f t="shared" si="1"/>
        <v>1</v>
      </c>
      <c r="F4" s="177">
        <f t="shared" si="1"/>
        <v>1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1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6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1019.1012391304353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2366.6012391304339</v>
      </c>
      <c r="G13" s="30">
        <f>SUM(G5:G11)</f>
        <v>118.29832608695652</v>
      </c>
      <c r="H13" s="30">
        <f t="shared" ref="H13:AD13" si="8">SUM(H5:H11)</f>
        <v>118.18967391304348</v>
      </c>
      <c r="I13" s="30">
        <f t="shared" si="8"/>
        <v>123.33102173913043</v>
      </c>
      <c r="J13" s="30">
        <f t="shared" si="8"/>
        <v>137.27669565217391</v>
      </c>
      <c r="K13" s="30">
        <f t="shared" si="8"/>
        <v>137.22236956521738</v>
      </c>
      <c r="L13" s="30">
        <f t="shared" si="8"/>
        <v>142.41804347826087</v>
      </c>
      <c r="M13" s="30">
        <f t="shared" si="8"/>
        <v>130.11371739130436</v>
      </c>
      <c r="N13" s="30">
        <f t="shared" si="8"/>
        <v>133.55939130434783</v>
      </c>
      <c r="O13" s="30">
        <f t="shared" si="8"/>
        <v>133.45073913043478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119.57095652173913</v>
      </c>
      <c r="AB13" s="30">
        <f t="shared" si="8"/>
        <v>121.79832608695652</v>
      </c>
      <c r="AC13" s="30">
        <f t="shared" si="8"/>
        <v>118.29832608695652</v>
      </c>
      <c r="AD13" s="30">
        <f t="shared" si="8"/>
        <v>118.29832608695652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31.7</v>
      </c>
      <c r="C55" s="190">
        <f>IF(B55&gt;[1]Trav!E121,[1]Trav!C121,[1]Trav!B121)</f>
        <v>7.2</v>
      </c>
      <c r="D55"/>
      <c r="E55" s="172"/>
      <c r="F55" s="173">
        <f t="shared" si="32"/>
        <v>228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14.7</v>
      </c>
      <c r="C56" s="190">
        <f>IF(B56&gt;[1]Trav!E121,[1]Trav!C121,[1]Trav!B121)</f>
        <v>7.2</v>
      </c>
      <c r="D56"/>
      <c r="E56" s="172"/>
      <c r="F56" s="173">
        <f t="shared" si="32"/>
        <v>106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1593.1012391304353</v>
      </c>
      <c r="C91" s="5"/>
      <c r="D91" s="202">
        <f>B91/Troupeau!$B$17</f>
        <v>4.462468456947998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2258.8012391304355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2.1960784313725492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880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431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3972.8245724637686</v>
      </c>
      <c r="D118" s="202">
        <f>B118/Troupeau!$B$17</f>
        <v>11.128360146957336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863.7</v>
      </c>
      <c r="D119" s="202">
        <f>IF(B119=0,0,B119/Troupeau!$C$17)</f>
        <v>41.128571428571433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4836.5245724637689</v>
      </c>
    </row>
    <row r="123" spans="1:132" x14ac:dyDescent="0.25">
      <c r="A123" s="2" t="s">
        <v>856</v>
      </c>
      <c r="B123" s="30">
        <f>B108</f>
        <v>431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877.3</v>
      </c>
    </row>
    <row r="128" spans="1:132" x14ac:dyDescent="0.25">
      <c r="A128" s="2" t="s">
        <v>873</v>
      </c>
      <c r="B128" s="201">
        <f>SUM(B122:B126)</f>
        <v>6939.3245724637691</v>
      </c>
    </row>
    <row r="129" spans="1:2" x14ac:dyDescent="0.25">
      <c r="A129" s="2" t="s">
        <v>874</v>
      </c>
      <c r="B129" s="30">
        <f>IF(Scénario!K129=1,Travail!F77+Travail!F86,F86)</f>
        <v>1118.5</v>
      </c>
    </row>
    <row r="130" spans="1:2" x14ac:dyDescent="0.25">
      <c r="A130" s="2" t="s">
        <v>875</v>
      </c>
      <c r="B130" s="201">
        <f>ROUND((B128-B129)/(Scénario!K4+Scénario!K6),0)</f>
        <v>3881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139421.02000000002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22.598583999999988</v>
      </c>
      <c r="C118" s="190">
        <f>IF(Scénario!$K$12="BV",[1]Eco!$B$78,IF(Scénario!$K$12="BL",[1]Eco!$B$77,[1]Eco!$B$76))</f>
        <v>223</v>
      </c>
      <c r="J118" s="173">
        <f>B118*C118</f>
        <v>5039.4842319999971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53.915000000000006</v>
      </c>
      <c r="C119" s="190">
        <f>[1]Eco!$B$79</f>
        <v>80</v>
      </c>
      <c r="J119" s="173">
        <f>B119*C119</f>
        <v>4313.2000000000007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1.3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46.800000000000004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17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1056.72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5.7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380.98800000000006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59618.042232000007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31.7</v>
      </c>
      <c r="X153" t="s">
        <v>52</v>
      </c>
      <c r="Y153" s="173">
        <f>W153-Scénario!K28</f>
        <v>1.6999999999999993</v>
      </c>
      <c r="Z153" s="173">
        <f>Y153-Y156</f>
        <v>1.6999999999999993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14.7</v>
      </c>
      <c r="X154" t="s">
        <v>52</v>
      </c>
      <c r="Y154" s="173">
        <f>W154-Scénario!K29</f>
        <v>0.69999999999999929</v>
      </c>
      <c r="Z154" s="173">
        <f>Y154</f>
        <v>0.69999999999999929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1.6999999999999993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61.539999999999978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0.69999999999999929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20.999999999999979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0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291.3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3096.5190000000002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7.5</v>
      </c>
      <c r="T167" s="173">
        <f>VLOOKUP(R167,[1]MEP!$A$4:$M$300,13)</f>
        <v>1</v>
      </c>
      <c r="U167" s="173">
        <f t="shared" si="72"/>
        <v>7.5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7.5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7.5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47815.759000000005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</v>
      </c>
      <c r="T171" s="173">
        <f>VLOOKUP(R171,[1]MEP!$A$4:$M$300,13)</f>
        <v>2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31987.218768000006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21325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4417.0213715714708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14570.197396428535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9713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1.3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1.3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1.3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2.7</v>
      </c>
      <c r="T189" s="173">
        <f>VLOOKUP(R189,[1]MEP!$A$4:$M$300,13)</f>
        <v>2</v>
      </c>
      <c r="U189" s="173">
        <f t="shared" si="72"/>
        <v>2.7</v>
      </c>
      <c r="V189" s="173">
        <f t="shared" si="73"/>
        <v>2.7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2.7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2.7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31.7</v>
      </c>
      <c r="V228" s="62">
        <f t="shared" ref="V228:W228" si="84">SUM(V164:V227)</f>
        <v>14.7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1.3</v>
      </c>
      <c r="AI228" s="62">
        <f t="shared" si="86"/>
        <v>17</v>
      </c>
      <c r="AJ228" s="62">
        <f t="shared" si="86"/>
        <v>5.7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51326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35826</v>
      </c>
      <c r="AB237" s="30">
        <f>(Scénario!K127/100)*AA237</f>
        <v>0</v>
      </c>
      <c r="AC237" s="30">
        <f>AA237-AB237</f>
        <v>35826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4417.0213715714708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17128.600000000002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17128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280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Z3_OLBV_T3_SC1s2</v>
      </c>
      <c r="D1" s="275" t="str">
        <f>CONCATENATE(C1,"_corr")</f>
        <v>Z3_OLBV_T3_SC1s2_corr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31.7</v>
      </c>
      <c r="D85" s="261">
        <f>ROUND(C85*$D$82/$C$82,3)</f>
        <v>30.06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14.7</v>
      </c>
      <c r="D86" s="261">
        <f t="shared" ref="D86:D97" si="14">ROUND(C86*$D$82/$C$82,3)</f>
        <v>13.94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10</v>
      </c>
      <c r="D110" s="173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7</v>
      </c>
      <c r="D113" s="173">
        <f t="shared" si="25"/>
        <v>7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0.58823529411764708</v>
      </c>
      <c r="D133" s="262">
        <f t="shared" si="25"/>
        <v>0.58823529411764708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0.53658536585365857</v>
      </c>
      <c r="D136" s="262">
        <f t="shared" si="25"/>
        <v>0.53658536585365857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129.52361999999999</v>
      </c>
      <c r="D169" s="263">
        <f t="shared" si="50"/>
        <v>122.82412241379309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108.46741796647827</v>
      </c>
      <c r="D170" s="263">
        <f t="shared" si="50"/>
        <v>102.85703427855697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141.50141600000001</v>
      </c>
      <c r="D171" s="263">
        <f t="shared" si="50"/>
        <v>134.1823772413793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21.056202033521728</v>
      </c>
      <c r="D173" s="263">
        <f t="shared" si="50"/>
        <v>19.967088135236121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83.7</v>
      </c>
      <c r="D174" s="263">
        <f t="shared" si="50"/>
        <v>79.370689655172413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-22.598583999999988</v>
      </c>
      <c r="D175" s="263">
        <f>C175*$D$82/$C$82</f>
        <v>-21.429691724137918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22.598583999999988</v>
      </c>
      <c r="D176" s="263">
        <f>C176*$D$82/$C$82</f>
        <v>21.429691724137918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92</v>
      </c>
      <c r="D178" s="173">
        <f>ROUND((D170+D171)/(D170+D172),2)*100</f>
        <v>92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17128.600000000002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265.51724137931035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65182.1</v>
      </c>
      <c r="D211" s="264">
        <f>ROUND(SUM(D201:D210),0)</f>
        <v>60886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3676.6679999999997</v>
      </c>
      <c r="D217" s="261">
        <f t="shared" si="106"/>
        <v>3486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9352.6842319999978</v>
      </c>
      <c r="D218" s="261">
        <f t="shared" si="106"/>
        <v>8869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5145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939.89</v>
      </c>
      <c r="D220" s="264">
        <f>SUM(AN215:AN219)</f>
        <v>901.28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59618</v>
      </c>
      <c r="D221" s="264">
        <f>ROUND(SUM(D216:D220),0)</f>
        <v>56544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48752</v>
      </c>
      <c r="AQ228" s="30">
        <f>IF(Scénario!K84=1,MIN(0.8*AO228,[1]Protect!$B$68),IF(Scénario!K84=2,MIN(0.8*AO228,[1]Protect!$B$67),0))</f>
        <v>15500</v>
      </c>
      <c r="AR228" s="30">
        <f>AO228-AQ228</f>
        <v>33252</v>
      </c>
      <c r="AS228" s="30">
        <f>(1-Scénario!K127/100)*AR228</f>
        <v>33252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61.539999999999978</v>
      </c>
      <c r="D230" s="261">
        <f t="shared" si="109"/>
        <v>58</v>
      </c>
    </row>
    <row r="231" spans="1:49" x14ac:dyDescent="0.25">
      <c r="B231" s="14" t="s">
        <v>1083</v>
      </c>
      <c r="C231" s="173">
        <f>'Calcul éco'!J159</f>
        <v>20.999999999999979</v>
      </c>
      <c r="D231" s="261">
        <f t="shared" si="109"/>
        <v>20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3096.5190000000002</v>
      </c>
      <c r="D235" s="264">
        <f>(D191+D192)*8*[1]Eco!$B$106</f>
        <v>1904.8960000000004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47816</v>
      </c>
      <c r="D236" s="264">
        <f>ROUND(SUM(D222:D235),0)</f>
        <v>45090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31987.100000000006</v>
      </c>
      <c r="D237" s="264">
        <f>D194+D211-D221-D236</f>
        <v>29651</v>
      </c>
    </row>
    <row r="238" spans="1:49" x14ac:dyDescent="0.25">
      <c r="B238" s="211" t="s">
        <v>1090</v>
      </c>
      <c r="C238" s="173">
        <f>ROUND(C237/Scénario!$K$4,0)</f>
        <v>21325</v>
      </c>
      <c r="D238" s="264">
        <f>ROUND(D237/D83,0)</f>
        <v>14826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4417.0213715714708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14570</v>
      </c>
      <c r="D241" s="268">
        <f>ROUND(D237-D239-D240,0)</f>
        <v>16651</v>
      </c>
    </row>
    <row r="242" spans="1:15" x14ac:dyDescent="0.25">
      <c r="B242" s="211" t="s">
        <v>1094</v>
      </c>
      <c r="C242" s="173">
        <f>ROUND(C241/Scénario!K4,0)</f>
        <v>9713</v>
      </c>
      <c r="D242" s="264">
        <f>ROUND(D241/D83,0)</f>
        <v>8326</v>
      </c>
    </row>
    <row r="243" spans="1:15" x14ac:dyDescent="0.25">
      <c r="B243" s="211" t="s">
        <v>1357</v>
      </c>
      <c r="C243" s="173">
        <f>'Calcul éco'!X237+'Calcul éco'!X240</f>
        <v>51326</v>
      </c>
      <c r="D243" s="173">
        <f>C243</f>
        <v>51326</v>
      </c>
    </row>
    <row r="244" spans="1:15" x14ac:dyDescent="0.25">
      <c r="B244" s="211" t="s">
        <v>1358</v>
      </c>
      <c r="C244" s="173">
        <f>'Calcul éco'!AA237+'Calcul éco'!AA240</f>
        <v>35826</v>
      </c>
      <c r="D244" s="173">
        <f>C244</f>
        <v>35826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1019.1012391304353</v>
      </c>
      <c r="D248" s="264">
        <f>ROUND(SUM(AV163:BS163),1)</f>
        <v>1005.5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30.06</v>
      </c>
      <c r="L258" s="190">
        <f>IF(K258&gt;[1]Trav!E121,[1]Trav!C121,[1]Trav!B121)</f>
        <v>7.2</v>
      </c>
      <c r="N258" s="274"/>
      <c r="O258">
        <f t="shared" si="114"/>
        <v>216.43199999999999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13.94</v>
      </c>
      <c r="L259" s="190">
        <f>IF(K259&gt;[1]Trav!E121,[1]Trav!C121,[1]Trav!B121)</f>
        <v>7.2</v>
      </c>
      <c r="N259" s="274"/>
      <c r="O259">
        <f t="shared" si="114"/>
        <v>100.36799999999999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228</v>
      </c>
      <c r="D267" s="264">
        <f t="shared" si="116"/>
        <v>216</v>
      </c>
    </row>
    <row r="268" spans="1:15" x14ac:dyDescent="0.25">
      <c r="B268" s="32" t="s">
        <v>791</v>
      </c>
      <c r="C268" s="270">
        <f>Travail!F56</f>
        <v>106</v>
      </c>
      <c r="D268" s="264">
        <f t="shared" si="116"/>
        <v>100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3972</v>
      </c>
      <c r="D281" s="264">
        <f>ROUND(D245+D248+D251+D254+D257+D260+D261,0)</f>
        <v>3888</v>
      </c>
    </row>
    <row r="282" spans="1:4" x14ac:dyDescent="0.25">
      <c r="B282" s="14" t="s">
        <v>1372</v>
      </c>
      <c r="C282" s="173">
        <f>ROUND(C246+C249+C252+C255+C258,0)</f>
        <v>864</v>
      </c>
      <c r="D282" s="264">
        <f>ROUND(D246+D249+D252+D255+D258,0)</f>
        <v>859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11.13</v>
      </c>
      <c r="D284" s="173">
        <f>ROUND(D281/(Troupeau!$B$17*G63),2)</f>
        <v>11.48</v>
      </c>
    </row>
    <row r="285" spans="1:4" x14ac:dyDescent="0.25">
      <c r="B285" s="14" t="s">
        <v>1375</v>
      </c>
      <c r="C285" s="173">
        <f>IF(Troupeau!$C$17=0,0,ROUND(C282/Troupeau!$C$17,2))</f>
        <v>41.14</v>
      </c>
      <c r="D285" s="173">
        <f>IF(Troupeau!$C$17=0,0,ROUND(D282/Troupeau!$C$17*G63,2))</f>
        <v>38.79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4836</v>
      </c>
      <c r="D287" s="264">
        <f>SUM(D281:D283)</f>
        <v>4747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431</v>
      </c>
      <c r="D289" s="264">
        <f>SUM(D262:D271)</f>
        <v>414</v>
      </c>
    </row>
    <row r="290" spans="2:4" x14ac:dyDescent="0.25">
      <c r="B290" s="14" t="s">
        <v>1420</v>
      </c>
      <c r="C290" s="270">
        <f>C275+C276+C277</f>
        <v>291.70000000000005</v>
      </c>
      <c r="D290" s="277">
        <f>D275+D276+D277</f>
        <v>291.20000000000005</v>
      </c>
    </row>
    <row r="291" spans="2:4" x14ac:dyDescent="0.25">
      <c r="B291" s="14" t="s">
        <v>1421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7023</v>
      </c>
      <c r="D292" s="264">
        <f>ROUND(SUM(D287:D291),0)</f>
        <v>6917</v>
      </c>
    </row>
    <row r="293" spans="2:4" x14ac:dyDescent="0.25">
      <c r="B293" s="14" t="s">
        <v>874</v>
      </c>
      <c r="C293" s="173">
        <f>ROUND(IF(Scénario!$K$129=1,SUM(C275:C280),SUM(C278:C280)),0)</f>
        <v>1156</v>
      </c>
      <c r="D293" s="173">
        <f>ROUND(IF(Scénario!$K$129=1,SUM(D275:D280),SUM(D278:D280)),0)</f>
        <v>1156</v>
      </c>
    </row>
    <row r="294" spans="2:4" x14ac:dyDescent="0.25">
      <c r="B294" s="14" t="s">
        <v>875</v>
      </c>
      <c r="C294" s="173">
        <f>ROUND((C292-C293)/C83,0)</f>
        <v>3911</v>
      </c>
      <c r="D294" s="173">
        <f>ROUND((D292-D293)/D83,0)</f>
        <v>2881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64.436931326478245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2000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50" activePane="bottomLeft" state="frozen"/>
      <selection pane="bottomLeft" activeCell="U53" sqref="U53:Y53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47.215000000000003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9443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6.314740701652175</v>
      </c>
      <c r="H172" s="61">
        <f t="shared" si="75"/>
        <v>6.0793759721739136</v>
      </c>
      <c r="I172" s="61">
        <f t="shared" si="75"/>
        <v>6.0477125556521765</v>
      </c>
      <c r="J172" s="61">
        <f t="shared" si="75"/>
        <v>6.1838652466956523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53.058006456913056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0.83194969565217392</v>
      </c>
      <c r="C185" s="61">
        <f>SUM(CdTrp1!C175:C184)</f>
        <v>0.83194969565217392</v>
      </c>
      <c r="D185" s="61">
        <f>SUM(CdTrp1!D175:D184)</f>
        <v>0.75143843478260874</v>
      </c>
      <c r="E185" s="61">
        <f>SUM(CdTrp1!E175:E184)</f>
        <v>0.75143843478260874</v>
      </c>
      <c r="F185" s="61">
        <f>SUM(CdTrp1!F175:F184)</f>
        <v>0.83194969565217392</v>
      </c>
      <c r="G185" s="61">
        <f>SUM(CdTrp1!G175:G184)</f>
        <v>0.83194969565217392</v>
      </c>
      <c r="H185" s="61">
        <f>SUM(CdTrp1!H175:H184)</f>
        <v>0.80511260869565215</v>
      </c>
      <c r="I185" s="61">
        <f>SUM(CdTrp1!I175:I184)</f>
        <v>0.80511260869565215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0.83194969565217392</v>
      </c>
      <c r="V185" s="61">
        <f>SUM(CdTrp1!V175:V184)</f>
        <v>0.80511260869565215</v>
      </c>
      <c r="W185" s="61">
        <f>SUM(CdTrp1!W175:W184)</f>
        <v>0.80511260869565215</v>
      </c>
      <c r="X185" s="61">
        <f>SUM(CdTrp1!X175:X184)</f>
        <v>0.83194969565217392</v>
      </c>
      <c r="Y185" s="61">
        <f>SUM(CdTrp1!Y175:Y184)</f>
        <v>0.83194969565217392</v>
      </c>
      <c r="AA185" s="64">
        <f>SUM(B185:Y185)</f>
        <v>11.378924869565218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6.314740701652175</v>
      </c>
      <c r="H215" s="61">
        <f t="shared" si="108"/>
        <v>6.0793759721739136</v>
      </c>
      <c r="I215" s="61">
        <f t="shared" si="108"/>
        <v>6.0477125556521765</v>
      </c>
      <c r="J215" s="61">
        <f t="shared" si="108"/>
        <v>6.1838652466956523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0.83194969565217392</v>
      </c>
      <c r="C216" s="61">
        <f t="shared" ref="C216:Y216" si="109">C185</f>
        <v>0.83194969565217392</v>
      </c>
      <c r="D216" s="61">
        <f t="shared" si="109"/>
        <v>0.75143843478260874</v>
      </c>
      <c r="E216" s="61">
        <f t="shared" si="109"/>
        <v>0.75143843478260874</v>
      </c>
      <c r="F216" s="61">
        <f t="shared" si="109"/>
        <v>0.83194969565217392</v>
      </c>
      <c r="G216" s="61">
        <f t="shared" si="109"/>
        <v>0.83194969565217392</v>
      </c>
      <c r="H216" s="61">
        <f t="shared" si="109"/>
        <v>0.80511260869565215</v>
      </c>
      <c r="I216" s="61">
        <f t="shared" si="109"/>
        <v>0.80511260869565215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0.83194969565217392</v>
      </c>
      <c r="V216" s="61">
        <f t="shared" si="109"/>
        <v>0.80511260869565215</v>
      </c>
      <c r="W216" s="61">
        <f t="shared" si="109"/>
        <v>0.80511260869565215</v>
      </c>
      <c r="X216" s="61">
        <f t="shared" si="109"/>
        <v>0.83194969565217392</v>
      </c>
      <c r="Y216" s="61">
        <f t="shared" si="109"/>
        <v>0.83194969565217392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109.62658084213039</v>
      </c>
      <c r="AB219" t="s">
        <v>222</v>
      </c>
    </row>
    <row r="220" spans="1:28" x14ac:dyDescent="0.25">
      <c r="AA220" s="30">
        <f>SUM(B215:Y217)</f>
        <v>64.436931326478245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2023-01-09T10:30:31Z</dcterms:modified>
</cp:coreProperties>
</file>