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0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AV7" i="29"/>
  <c r="AW7" i="29"/>
  <c r="AX7" i="29"/>
  <c r="AY7" i="29"/>
  <c r="BD7" i="29" s="1"/>
  <c r="BE7" i="29" s="1"/>
  <c r="BF7" i="29" s="1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D8" i="29"/>
  <c r="BE8" i="29" s="1"/>
  <c r="BF8" i="29" s="1"/>
  <c r="BL8" i="29" s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J8" i="29" l="1"/>
  <c r="BI8" i="29"/>
  <c r="BH8" i="29"/>
  <c r="BK8" i="29"/>
  <c r="BG8" i="29"/>
  <c r="BJ25" i="29"/>
  <c r="BI9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P73" i="30"/>
  <c r="O73" i="30"/>
  <c r="N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H30" i="29"/>
  <c r="G30" i="29"/>
  <c r="F30" i="29"/>
  <c r="E30" i="29"/>
  <c r="D30" i="29"/>
  <c r="C30" i="29"/>
  <c r="Z29" i="29"/>
  <c r="Y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BA10" i="29" s="1"/>
  <c r="R9" i="7"/>
  <c r="S9" i="7"/>
  <c r="BA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H90" i="30" s="1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F17" i="30" l="1"/>
  <c r="C252" i="33" s="1"/>
  <c r="D252" i="33" s="1"/>
  <c r="C20" i="29"/>
  <c r="T171" i="28"/>
  <c r="Z171" i="28"/>
  <c r="X171" i="28"/>
  <c r="AA171" i="28" s="1"/>
  <c r="Y171" i="28"/>
  <c r="Z171" i="31"/>
  <c r="AC171" i="31" s="1"/>
  <c r="T171" i="31"/>
  <c r="X171" i="31"/>
  <c r="AA171" i="31" s="1"/>
  <c r="Y171" i="31"/>
  <c r="AB171" i="31" s="1"/>
  <c r="S3" i="29"/>
  <c r="AY27" i="30"/>
  <c r="BD27" i="30"/>
  <c r="BF27" i="30"/>
  <c r="BG27" i="30"/>
  <c r="BL27" i="30"/>
  <c r="BN27" i="30"/>
  <c r="AV27" i="30"/>
  <c r="AV72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AA166" i="28" s="1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AB188" i="28" s="1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AB199" i="28" s="1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AB198" i="31" s="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AC194" i="28" s="1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J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S4" i="29"/>
  <c r="S20" i="29"/>
  <c r="AC171" i="28"/>
  <c r="AB171" i="28"/>
  <c r="K113" i="31"/>
  <c r="AA186" i="28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T14" i="7"/>
  <c r="T13" i="7"/>
  <c r="T12" i="7"/>
  <c r="T11" i="7"/>
  <c r="AG173" i="31" l="1"/>
  <c r="CU108" i="30"/>
  <c r="CI108" i="30"/>
  <c r="CO107" i="30"/>
  <c r="CU106" i="30"/>
  <c r="CM108" i="30"/>
  <c r="CS108" i="30"/>
  <c r="CU107" i="30"/>
  <c r="CG107" i="30"/>
  <c r="CH106" i="30"/>
  <c r="CM106" i="30"/>
  <c r="CQ107" i="30"/>
  <c r="CR106" i="30"/>
  <c r="CW106" i="30"/>
  <c r="BE106" i="30"/>
  <c r="CW108" i="30"/>
  <c r="CH108" i="30"/>
  <c r="CS107" i="30"/>
  <c r="CN107" i="30"/>
  <c r="CT106" i="30"/>
  <c r="CJ106" i="30"/>
  <c r="CO106" i="30"/>
  <c r="CR108" i="30"/>
  <c r="CK107" i="30"/>
  <c r="CJ108" i="30"/>
  <c r="CM107" i="30"/>
  <c r="CP107" i="30"/>
  <c r="CS106" i="30"/>
  <c r="CQ106" i="30"/>
  <c r="CV106" i="30"/>
  <c r="BB106" i="30"/>
  <c r="CV108" i="30"/>
  <c r="CT108" i="30"/>
  <c r="CT107" i="30"/>
  <c r="CH107" i="30"/>
  <c r="CE108" i="30"/>
  <c r="CF108" i="30"/>
  <c r="CL108" i="30"/>
  <c r="CQ108" i="30"/>
  <c r="CL107" i="30"/>
  <c r="CR107" i="30"/>
  <c r="CW107" i="30"/>
  <c r="CP106" i="30"/>
  <c r="AF197" i="31"/>
  <c r="T29" i="29"/>
  <c r="X73" i="30"/>
  <c r="N29" i="29"/>
  <c r="R73" i="30"/>
  <c r="S29" i="29"/>
  <c r="W73" i="30"/>
  <c r="O29" i="29"/>
  <c r="S73" i="30"/>
  <c r="P29" i="29"/>
  <c r="T73" i="30"/>
  <c r="Q29" i="29"/>
  <c r="U73" i="30"/>
  <c r="R29" i="29"/>
  <c r="V73" i="30"/>
  <c r="M29" i="29"/>
  <c r="Q73" i="30"/>
  <c r="U197" i="31"/>
  <c r="W173" i="31"/>
  <c r="AB25" i="28"/>
  <c r="AB34" i="28" s="1"/>
  <c r="K32" i="28" s="1"/>
  <c r="C89" i="33" s="1"/>
  <c r="AF188" i="31"/>
  <c r="Z25" i="28"/>
  <c r="Z34" i="28" s="1"/>
  <c r="K37" i="28" s="1"/>
  <c r="C93" i="33" s="1"/>
  <c r="I29" i="29"/>
  <c r="M73" i="30"/>
  <c r="U29" i="29"/>
  <c r="Y73" i="30"/>
  <c r="AA73" i="30"/>
  <c r="W29" i="29"/>
  <c r="AB73" i="30"/>
  <c r="X29" i="29"/>
  <c r="V29" i="29"/>
  <c r="Z73" i="30"/>
  <c r="J72" i="30"/>
  <c r="F8" i="29"/>
  <c r="H8" i="29"/>
  <c r="H201" i="29" s="1"/>
  <c r="L72" i="30"/>
  <c r="X8" i="29"/>
  <c r="X201" i="29" s="1"/>
  <c r="AB72" i="30"/>
  <c r="G8" i="29"/>
  <c r="G201" i="29" s="1"/>
  <c r="K72" i="30"/>
  <c r="AD72" i="30"/>
  <c r="Z8" i="29"/>
  <c r="AC72" i="30"/>
  <c r="Y8" i="29"/>
  <c r="Y201" i="29" s="1"/>
  <c r="M72" i="30"/>
  <c r="I72" i="30"/>
  <c r="E8" i="29"/>
  <c r="H72" i="30"/>
  <c r="D8" i="29"/>
  <c r="D201" i="29" s="1"/>
  <c r="C8" i="29"/>
  <c r="C201" i="29" s="1"/>
  <c r="C212" i="29" s="1"/>
  <c r="G72" i="30"/>
  <c r="M8" i="29"/>
  <c r="M201" i="29" s="1"/>
  <c r="Q72" i="30"/>
  <c r="U8" i="29"/>
  <c r="U201" i="29" s="1"/>
  <c r="Y72" i="30"/>
  <c r="U72" i="30"/>
  <c r="Q8" i="29"/>
  <c r="Q201" i="29" s="1"/>
  <c r="R8" i="29"/>
  <c r="V72" i="30"/>
  <c r="S72" i="30"/>
  <c r="O8" i="29"/>
  <c r="O201" i="29" s="1"/>
  <c r="T72" i="30"/>
  <c r="P8" i="29"/>
  <c r="P201" i="29" s="1"/>
  <c r="T8" i="29"/>
  <c r="T201" i="29" s="1"/>
  <c r="X72" i="30"/>
  <c r="S8" i="29"/>
  <c r="W72" i="30"/>
  <c r="N8" i="29"/>
  <c r="N201" i="29" s="1"/>
  <c r="R72" i="30"/>
  <c r="V197" i="31"/>
  <c r="U173" i="31"/>
  <c r="V173" i="31"/>
  <c r="AF173" i="31"/>
  <c r="AG197" i="31"/>
  <c r="W197" i="31"/>
  <c r="AI197" i="31"/>
  <c r="AC25" i="28"/>
  <c r="AC34" i="28" s="1"/>
  <c r="K39" i="28" s="1"/>
  <c r="C96" i="33" s="1"/>
  <c r="W25" i="28"/>
  <c r="W34" i="28" s="1"/>
  <c r="K34" i="28" s="1"/>
  <c r="C90" i="33" s="1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T240" i="3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AI171" i="28"/>
  <c r="B110" i="30"/>
  <c r="AI171" i="31"/>
  <c r="AJ171" i="31"/>
  <c r="AJ171" i="28"/>
  <c r="F72" i="30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T245" i="31"/>
  <c r="C189" i="33" s="1"/>
  <c r="D189" i="33" s="1"/>
  <c r="AK189" i="33" s="1"/>
  <c r="AO189" i="33" s="1"/>
  <c r="AO192" i="33" s="1"/>
  <c r="F76" i="30"/>
  <c r="F77" i="30"/>
  <c r="B129" i="30" s="1"/>
  <c r="F75" i="30"/>
  <c r="AJ219" i="33"/>
  <c r="AN219" i="33" s="1"/>
  <c r="AK227" i="33"/>
  <c r="AO227" i="33" s="1"/>
  <c r="X245" i="31"/>
  <c r="AJ218" i="33"/>
  <c r="AN218" i="33" s="1"/>
  <c r="AK226" i="33"/>
  <c r="AO226" i="33" s="1"/>
  <c r="AH47" i="31"/>
  <c r="AH69" i="31" s="1"/>
  <c r="V265" i="31"/>
  <c r="V264" i="31"/>
  <c r="F9" i="30"/>
  <c r="C248" i="33" s="1"/>
  <c r="I66" i="7"/>
  <c r="J66" i="7"/>
  <c r="O66" i="7"/>
  <c r="P66" i="7"/>
  <c r="Q66" i="7"/>
  <c r="G66" i="7"/>
  <c r="V263" i="31" l="1"/>
  <c r="J46" i="31" s="1"/>
  <c r="C210" i="33" s="1"/>
  <c r="C277" i="33"/>
  <c r="D277" i="33" s="1"/>
  <c r="C193" i="33"/>
  <c r="D193" i="33" s="1"/>
  <c r="C278" i="33"/>
  <c r="D278" i="33" s="1"/>
  <c r="D291" i="33" s="1"/>
  <c r="B113" i="30"/>
  <c r="B125" i="30" s="1"/>
  <c r="J141" i="31"/>
  <c r="C219" i="33" s="1"/>
  <c r="X248" i="3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291" i="33" l="1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L101" i="24"/>
  <c r="L112" i="24" s="1"/>
  <c r="P101" i="24"/>
  <c r="P112" i="24" s="1"/>
  <c r="P138" i="24" s="1"/>
  <c r="P151" i="24" s="1"/>
  <c r="P177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N163" i="24" l="1"/>
  <c r="N172" i="24" s="1"/>
  <c r="N215" i="24" s="1"/>
  <c r="N176" i="24"/>
  <c r="I163" i="24"/>
  <c r="I176" i="24"/>
  <c r="L201" i="24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K163" i="24" l="1"/>
  <c r="K172" i="24" s="1"/>
  <c r="K215" i="24" s="1"/>
  <c r="K176" i="24"/>
  <c r="O163" i="24"/>
  <c r="O172" i="24" s="1"/>
  <c r="O215" i="24" s="1"/>
  <c r="O176" i="24"/>
  <c r="O185" i="24" s="1"/>
  <c r="O216" i="24" s="1"/>
  <c r="M163" i="24"/>
  <c r="M172" i="24" s="1"/>
  <c r="M215" i="24" s="1"/>
  <c r="M176" i="24"/>
  <c r="M185" i="24" s="1"/>
  <c r="M216" i="24" s="1"/>
  <c r="J163" i="24"/>
  <c r="J172" i="24" s="1"/>
  <c r="J215" i="24" s="1"/>
  <c r="J176" i="24"/>
  <c r="J185" i="24" s="1"/>
  <c r="J216" i="24" s="1"/>
  <c r="H163" i="24"/>
  <c r="H176" i="24"/>
  <c r="H185" i="24" s="1"/>
  <c r="H216" i="24" s="1"/>
  <c r="P163" i="24"/>
  <c r="P172" i="24" s="1"/>
  <c r="P215" i="24" s="1"/>
  <c r="P176" i="24"/>
  <c r="P185" i="24" s="1"/>
  <c r="P216" i="24" s="1"/>
  <c r="L163" i="24"/>
  <c r="L172" i="24" s="1"/>
  <c r="L215" i="24" s="1"/>
  <c r="L176" i="24"/>
  <c r="L185" i="24" s="1"/>
  <c r="L216" i="24" s="1"/>
  <c r="Q163" i="24"/>
  <c r="Q172" i="24" s="1"/>
  <c r="Q215" i="24" s="1"/>
  <c r="Q176" i="24"/>
  <c r="Q185" i="24" s="1"/>
  <c r="Q216" i="24" s="1"/>
  <c r="K185" i="24"/>
  <c r="K216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CQ66" i="33"/>
  <c r="CQ77" i="33" s="1"/>
  <c r="BG64" i="33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DY72" i="33"/>
  <c r="DY84" i="33" s="1"/>
  <c r="BS66" i="33"/>
  <c r="BA71" i="33"/>
  <c r="BA82" i="33" s="1"/>
  <c r="CL66" i="33"/>
  <c r="CL77" i="33" s="1"/>
  <c r="DR67" i="33"/>
  <c r="DR78" i="33" s="1"/>
  <c r="BJ64" i="33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AZ76" i="33"/>
  <c r="AZ152" i="33"/>
  <c r="AV76" i="33"/>
  <c r="AV152" i="33"/>
  <c r="AY76" i="33"/>
  <c r="AY152" i="33"/>
  <c r="BS76" i="33"/>
  <c r="BS152" i="33"/>
  <c r="BB76" i="33"/>
  <c r="BB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52" i="33"/>
  <c r="AV78" i="33"/>
  <c r="AV154" i="33"/>
  <c r="BP78" i="33"/>
  <c r="BP154" i="33"/>
  <c r="AX78" i="33"/>
  <c r="AX135" i="33" s="1"/>
  <c r="AX154" i="33"/>
  <c r="BI75" i="33"/>
  <c r="BI132" i="33" s="1"/>
  <c r="BI151" i="33"/>
  <c r="BR78" i="33"/>
  <c r="BR154" i="33"/>
  <c r="BB78" i="33"/>
  <c r="BB154" i="33"/>
  <c r="AW78" i="33"/>
  <c r="AW135" i="33" s="1"/>
  <c r="AW154" i="33"/>
  <c r="BH75" i="33"/>
  <c r="BH121" i="33" s="1"/>
  <c r="BH167" i="33" s="1"/>
  <c r="BH151" i="33"/>
  <c r="AY78" i="33"/>
  <c r="AY154" i="33"/>
  <c r="BG75" i="33"/>
  <c r="BG151" i="33"/>
  <c r="BA78" i="33"/>
  <c r="BA124" i="33" s="1"/>
  <c r="BA170" i="33" s="1"/>
  <c r="BA154" i="33"/>
  <c r="BK75" i="33"/>
  <c r="BK121" i="33" s="1"/>
  <c r="BK167" i="33" s="1"/>
  <c r="BK151" i="33"/>
  <c r="BO78" i="33"/>
  <c r="BO154" i="33"/>
  <c r="BM75" i="33"/>
  <c r="BM151" i="33"/>
  <c r="BC78" i="33"/>
  <c r="BC154" i="33"/>
  <c r="BJ75" i="33"/>
  <c r="BJ121" i="33" s="1"/>
  <c r="BJ167" i="33" s="1"/>
  <c r="BJ151" i="33"/>
  <c r="BL75" i="33"/>
  <c r="BL151" i="33"/>
  <c r="BQ78" i="33"/>
  <c r="BQ154" i="33"/>
  <c r="AZ78" i="33"/>
  <c r="AZ135" i="33" s="1"/>
  <c r="AZ154" i="33"/>
  <c r="BD78" i="33"/>
  <c r="BD124" i="33" s="1"/>
  <c r="BD170" i="33" s="1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L135" i="33"/>
  <c r="BL124" i="33"/>
  <c r="BL170" i="33" s="1"/>
  <c r="BK153" i="33"/>
  <c r="BK77" i="33"/>
  <c r="DG130" i="33"/>
  <c r="DG176" i="33" s="1"/>
  <c r="DG141" i="33"/>
  <c r="DE127" i="33"/>
  <c r="DE173" i="33" s="1"/>
  <c r="DE138" i="33"/>
  <c r="BH153" i="33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CY125" i="33"/>
  <c r="CY171" i="33" s="1"/>
  <c r="CY136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M160" i="33" l="1"/>
  <c r="BM161" i="33" s="1"/>
  <c r="BM162" i="33" s="1"/>
  <c r="BG160" i="33"/>
  <c r="BG161" i="33" s="1"/>
  <c r="BG162" i="33" s="1"/>
  <c r="BP160" i="33"/>
  <c r="BP161" i="33" s="1"/>
  <c r="BP162" i="33" s="1"/>
  <c r="BN160" i="33"/>
  <c r="BN161" i="33" s="1"/>
  <c r="BN162" i="33" s="1"/>
  <c r="BI121" i="33"/>
  <c r="BI167" i="33" s="1"/>
  <c r="BD135" i="33"/>
  <c r="BK132" i="33"/>
  <c r="BH132" i="33"/>
  <c r="BA135" i="33"/>
  <c r="BJ160" i="33"/>
  <c r="BJ161" i="33" s="1"/>
  <c r="BJ162" i="33" s="1"/>
  <c r="BI160" i="33"/>
  <c r="BI161" i="33" s="1"/>
  <c r="BI162" i="33" s="1"/>
  <c r="BK160" i="33"/>
  <c r="BK161" i="33" s="1"/>
  <c r="BK162" i="33" s="1"/>
  <c r="BH160" i="33"/>
  <c r="BH161" i="33" s="1"/>
  <c r="BH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K144" i="33" l="1"/>
  <c r="BH143" i="33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J147" i="33" l="1"/>
  <c r="BJ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BC10" i="29" s="1"/>
  <c r="U9" i="7"/>
  <c r="BC11" i="29" s="1"/>
  <c r="U23" i="7"/>
  <c r="BC25" i="29" s="1"/>
  <c r="T6" i="7"/>
  <c r="BB8" i="29" s="1"/>
  <c r="T7" i="7"/>
  <c r="BB9" i="29" s="1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BB5" i="29" s="1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BB6" i="29" s="1"/>
  <c r="U4" i="7"/>
  <c r="BC6" i="29" s="1"/>
  <c r="V9" i="7"/>
  <c r="T9" i="7"/>
  <c r="BB11" i="29" s="1"/>
  <c r="T8" i="7"/>
  <c r="BB10" i="29" s="1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BA30" i="29" s="1"/>
  <c r="U5" i="7"/>
  <c r="BC7" i="29" s="1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BC8" i="29" s="1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4" i="30" s="1"/>
  <c r="C183" i="33"/>
  <c r="AK26" i="29"/>
  <c r="C184" i="33" s="1"/>
  <c r="D184" i="33" s="1"/>
  <c r="T234" i="31"/>
  <c r="T272" i="31" s="1"/>
  <c r="X272" i="31" s="1"/>
  <c r="J142" i="31" s="1"/>
  <c r="C220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B167" i="31" s="1"/>
  <c r="J167" i="31" s="1"/>
  <c r="C235" i="33" s="1"/>
  <c r="C236" i="33" s="1"/>
  <c r="C185" i="33"/>
  <c r="D185" i="33" s="1"/>
  <c r="D183" i="33" s="1"/>
  <c r="X234" i="31"/>
  <c r="C307" i="33" s="1"/>
  <c r="AX39" i="23"/>
  <c r="AX37" i="23"/>
  <c r="AT38" i="23"/>
  <c r="AT37" i="23"/>
  <c r="AV39" i="23"/>
  <c r="AV37" i="23"/>
  <c r="AU39" i="23"/>
  <c r="AU37" i="23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W172" i="18"/>
  <c r="W215" i="18" s="1"/>
  <c r="AB5" i="22" s="1"/>
  <c r="BN15" i="23" s="1"/>
  <c r="BN21" i="23" s="1"/>
  <c r="X237" i="31"/>
  <c r="Z237" i="31" s="1"/>
  <c r="AA237" i="31" s="1"/>
  <c r="C192" i="33"/>
  <c r="C276" i="33" s="1"/>
  <c r="C293" i="33" s="1"/>
  <c r="N201" i="18"/>
  <c r="N162" i="18"/>
  <c r="N172" i="18" s="1"/>
  <c r="N215" i="18" s="1"/>
  <c r="S5" i="22" s="1"/>
  <c r="O201" i="18"/>
  <c r="O162" i="18"/>
  <c r="O172" i="18" s="1"/>
  <c r="O215" i="18" s="1"/>
  <c r="T5" i="22" s="1"/>
  <c r="R201" i="18"/>
  <c r="R211" i="18" s="1"/>
  <c r="R218" i="18" s="1"/>
  <c r="W9" i="22" s="1"/>
  <c r="R162" i="18"/>
  <c r="P201" i="18"/>
  <c r="P211" i="18" s="1"/>
  <c r="P218" i="18" s="1"/>
  <c r="U9" i="22" s="1"/>
  <c r="P162" i="18"/>
  <c r="P172" i="18" s="1"/>
  <c r="P215" i="18" s="1"/>
  <c r="U5" i="22" s="1"/>
  <c r="S201" i="18"/>
  <c r="S162" i="18"/>
  <c r="S172" i="18" s="1"/>
  <c r="S215" i="18" s="1"/>
  <c r="X5" i="22" s="1"/>
  <c r="BJ15" i="23" s="1"/>
  <c r="BJ21" i="23" s="1"/>
  <c r="M201" i="18"/>
  <c r="M211" i="18" s="1"/>
  <c r="M218" i="18" s="1"/>
  <c r="R9" i="22" s="1"/>
  <c r="M162" i="18"/>
  <c r="Q201" i="18"/>
  <c r="Q211" i="18" s="1"/>
  <c r="Q218" i="18" s="1"/>
  <c r="V9" i="22" s="1"/>
  <c r="Q162" i="18"/>
  <c r="Q172" i="18" s="1"/>
  <c r="Q215" i="18" s="1"/>
  <c r="V5" i="22" s="1"/>
  <c r="J170" i="31"/>
  <c r="AJ216" i="33"/>
  <c r="AN216" i="33" s="1"/>
  <c r="D220" i="33" s="1"/>
  <c r="D192" i="33"/>
  <c r="AK225" i="33"/>
  <c r="AO225" i="33" s="1"/>
  <c r="AO228" i="33" s="1"/>
  <c r="D142" i="33"/>
  <c r="C243" i="33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R172" i="18"/>
  <c r="R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<sst xmlns="http://schemas.openxmlformats.org/spreadsheetml/2006/main" count="3129" uniqueCount="1468">
  <si>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</si>
  <si>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</si>
  <si>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</si>
  <si>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</si>
  <si>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</si>
  <si>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</si>
  <si>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</si>
  <si>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</si>
  <si>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</si>
  <si>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</si>
  <si>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</si>
  <si>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</si>
  <si>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</si>
  <si>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</si>
  <si>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</si>
  <si>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</si>
  <si>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</si>
  <si>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</si>
  <si>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</si>
  <si>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</si>
  <si>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</si>
  <si>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</si>
  <si>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</si>
  <si>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</si>
  <si>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</si>
  <si>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</si>
  <si>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</si>
  <si>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</si>
  <si>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</si>
  <si>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</si>
  <si>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</si>
  <si>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</si>
  <si>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</si>
  <si>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</si>
  <si>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</si>
  <si>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</si>
  <si>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</si>
  <si>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</si>
  <si>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</si>
  <si>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</si>
  <si>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</si>
  <si>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</si>
  <si>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</si>
  <si>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</si>
  <si>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</si>
  <si>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</si>
  <si>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</si>
  <si>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</si>
  <si>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</si>
  <si>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</si>
  <si>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</si>
  <si>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</si>
  <si>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</si>
  <si>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</si>
  <si>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</si>
  <si>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</si>
  <si>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</si>
  <si>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</si>
  <si>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</si>
  <si>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</si>
  <si>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</si>
  <si>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</si>
  <si>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</si>
  <si>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</si>
  <si>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</si>
  <si>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</si>
  <si>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</si>
  <si>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</si>
  <si>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</si>
  <si>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</si>
  <si>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</si>
  <si>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</si>
  <si>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</si>
  <si>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</si>
  <si>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</si>
  <si>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</si>
  <si>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</si>
  <si>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</si>
  <si>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</si>
  <si>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</si>
  <si>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</si>
  <si>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</si>
  <si>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</si>
  <si>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</si>
  <si>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</si>
  <si>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</si>
  <si>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</si>
  <si>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</si>
  <si>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</si>
  <si>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</si>
  <si>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</si>
  <si>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</si>
  <si>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</si>
  <si>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</si>
  <si>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</si>
  <si>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</si>
  <si>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</si>
  <si>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</si>
  <si>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</si>
  <si>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</si>
  <si>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</si>
  <si>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</si>
  <si>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</si>
  <si>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</si>
  <si>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</si>
  <si>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</si>
  <si>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</si>
  <si>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</si>
  <si>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</si>
  <si>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</si>
  <si>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</si>
  <si>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</si>
  <si>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</si>
  <si>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</si>
  <si>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</si>
  <si>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</si>
  <si>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</si>
  <si>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</si>
  <si>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</si>
  <si>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</si>
  <si>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</si>
  <si>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</si>
  <si>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</si>
  <si>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</si>
  <si>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</si>
  <si>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</si>
  <si>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</si>
  <si>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</si>
  <si>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</si>
  <si>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</si>
  <si>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</si>
  <si>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</si>
  <si>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</si>
  <si>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</si>
  <si>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</si>
  <si>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</si>
  <si>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</si>
  <si>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</si>
  <si>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</si>
  <si>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</si>
  <si>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</si>
  <si>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</si>
  <si>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</si>
  <si>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</si>
  <si>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</si>
  <si>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</si>
  <si>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</si>
  <si>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</si>
  <si>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</si>
  <si>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</si>
  <si>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</si>
  <si>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</si>
  <si>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</si>
  <si>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</si>
  <si>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</si>
  <si>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</si>
  <si>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</si>
  <si>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</si>
  <si>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</si>
  <si>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</si>
  <si>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</si>
  <si>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</si>
  <si>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</si>
  <si>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</si>
  <si>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</si>
  <si>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</si>
  <si>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</si>
  <si>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</si>
  <si>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</si>
  <si>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</si>
  <si>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</si>
  <si>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</si>
  <si>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</si>
  <si>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</si>
  <si>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</si>
  <si>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</si>
  <si>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</si>
  <si>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</si>
  <si>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</si>
  <si>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</si>
  <si>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</si>
  <si>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</si>
  <si>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</si>
  <si>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</si>
  <si>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</si>
  <si>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</si>
  <si>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</si>
  <si>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</si>
  <si>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</si>
  <si>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</si>
  <si>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</si>
  <si>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</si>
  <si>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</si>
  <si>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</si>
  <si>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</si>
  <si>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</si>
  <si>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</si>
  <si>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</si>
  <si>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</si>
  <si>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</si>
  <si>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</si>
  <si>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</si>
  <si>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</si>
  <si>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</si>
  <si>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</si>
  <si>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</si>
  <si>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</si>
  <si>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</si>
  <si>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</si>
  <si>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</si>
  <si>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</si>
  <si>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</si>
  <si>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</si>
  <si>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</si>
  <si>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</si>
  <si>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</si>
  <si>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</si>
  <si>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</si>
  <si>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</si>
  <si>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</si>
  <si>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</si>
  <si>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</si>
  <si>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</si>
  <si>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</si>
  <si>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</si>
  <si>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</si>
  <si>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</si>
  <si>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</si>
  <si>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</si>
  <si>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</si>
  <si>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</si>
  <si>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</si>
  <si>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</si>
  <si>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</si>
  <si>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</si>
  <si>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</si>
  <si>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</si>
  <si>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</si>
  <si>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</si>
  <si>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</si>
  <si>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</si>
  <si>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</si>
  <si>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</si>
  <si>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</si>
  <si>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</si>
  <si>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</si>
  <si>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</si>
  <si>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</si>
  <si>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</si>
  <si>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</si>
  <si>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</si>
  <si>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</si>
  <si>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</si>
  <si>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</si>
  <si>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</si>
  <si>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</si>
  <si>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</si>
  <si>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</si>
  <si>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</si>
  <si>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</si>
  <si>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</si>
  <si>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</si>
  <si>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</si>
  <si>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</si>
  <si>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</si>
  <si>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</si>
  <si>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</si>
  <si>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</si>
  <si>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</si>
  <si>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</si>
  <si>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</si>
  <si>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</si>
  <si>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</si>
  <si>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</si>
  <si>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</si>
  <si>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</si>
  <si>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</si>
  <si>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</si>
  <si>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</si>
  <si>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</si>
  <si>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</si>
  <si>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</si>
  <si>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</si>
  <si>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</si>
  <si>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</si>
  <si>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</si>
  <si>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</si>
  <si>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</si>
  <si>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</si>
  <si>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</si>
  <si>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</si>
  <si>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</si>
  <si>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</si>
  <si>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</si>
  <si>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</si>
  <si>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</si>
  <si>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</si>
  <si>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</si>
  <si>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</si>
  <si>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</si>
  <si>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</si>
  <si>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</si>
  <si>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</si>
  <si>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</si>
  <si>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</si>
  <si>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</si>
  <si>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</si>
  <si>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</si>
  <si>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</si>
  <si>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</si>
  <si>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</si>
  <si>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</si>
  <si>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</si>
  <si>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</si>
  <si>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</si>
  <si>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</si>
  <si>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</si>
  <si>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</si>
  <si>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</si>
  <si>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</si>
  <si>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</si>
  <si>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</si>
  <si>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</si>
  <si>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</si>
  <si>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</si>
  <si>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</si>
  <si>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</si>
  <si>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</si>
  <si>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</si>
  <si>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</si>
  <si>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</si>
  <si>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</si>
  <si>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</si>
  <si>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</si>
  <si>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</si>
  <si>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</si>
  <si>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</si>
  <si>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</si>
  <si>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</si>
  <si>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</si>
  <si>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</si>
  <si>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</si>
  <si>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</si>
  <si>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</si>
  <si>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</si>
  <si>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</si>
  <si>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</si>
  <si>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</si>
  <si>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</si>
  <si>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</si>
  <si>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</si>
  <si>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</si>
  <si>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</si>
  <si>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</si>
  <si>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</si>
  <si>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</si>
  <si>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</si>
  <si>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</si>
  <si>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</si>
  <si>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</si>
  <si>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</si>
  <si>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</si>
  <si>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</si>
  <si>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</si>
  <si>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</si>
  <si>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</si>
  <si>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</si>
  <si>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</si>
  <si>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</si>
  <si>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</si>
  <si>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</si>
  <si>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</si>
  <si>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</si>
  <si>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</si>
  <si>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</si>
  <si>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</si>
  <si>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</si>
  <si>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</si>
  <si>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</si>
  <si>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</si>
  <si>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</si>
  <si>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</si>
  <si>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</si>
  <si>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</si>
  <si>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</si>
  <si>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</si>
  <si>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</si>
  <si>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</si>
  <si>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</si>
  <si>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</si>
  <si>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</si>
  <si>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</si>
  <si>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</si>
  <si>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</si>
  <si>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</si>
  <si>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</si>
  <si>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</si>
  <si>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</si>
  <si>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</si>
  <si>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</si>
  <si>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</si>
  <si>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</si>
  <si>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</si>
  <si>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</si>
  <si>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</si>
  <si>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</si>
  <si>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</si>
  <si>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</si>
  <si>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</si>
  <si>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</si>
  <si>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</si>
  <si>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</si>
  <si>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</si>
  <si>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</si>
  <si>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</si>
  <si>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</si>
  <si>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</si>
  <si>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</si>
  <si>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</si>
  <si>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</si>
  <si>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</si>
  <si>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</si>
  <si>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</si>
  <si>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</si>
  <si>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</si>
  <si>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</si>
  <si>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</si>
  <si>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</si>
  <si>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</si>
  <si>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</si>
  <si>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</si>
  <si>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</si>
  <si>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</si>
  <si>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</si>
  <si>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</si>
  <si>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</si>
  <si>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</si>
  <si>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</si>
  <si>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</si>
  <si>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</si>
  <si>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</si>
  <si>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</si>
  <si>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</si>
  <si>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</si>
  <si>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</si>
  <si>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</si>
  <si>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</si>
  <si>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</si>
  <si>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</si>
  <si>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</si>
  <si>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</si>
  <si>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</si>
  <si>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</si>
  <si>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</si>
  <si>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</si>
  <si>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</si>
  <si>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</si>
  <si>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</si>
  <si>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</si>
  <si>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</si>
  <si>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</si>
  <si>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</si>
  <si>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</si>
  <si>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</si>
  <si>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</si>
  <si>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</si>
  <si>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</si>
  <si>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</si>
  <si>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</si>
  <si>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</si>
  <si>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</si>
  <si>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</si>
  <si>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</si>
  <si>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</si>
  <si>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</si>
  <si>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</si>
  <si>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</si>
  <si>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</si>
  <si>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</si>
  <si>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</si>
  <si>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</si>
  <si>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</si>
  <si>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</si>
  <si>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</si>
  <si>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</si>
  <si>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</si>
  <si>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</si>
  <si>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</si>
  <si>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</si>
  <si>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</si>
  <si>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</si>
  <si>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</si>
  <si>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</si>
  <si>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</si>
  <si>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</si>
  <si>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</si>
  <si>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</si>
  <si>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</si>
  <si>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</si>
  <si>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</si>
  <si>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</si>
  <si>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</si>
  <si>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</si>
  <si>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</si>
  <si>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</si>
  <si>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</si>
  <si>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</si>
  <si>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</si>
  <si>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</si>
  <si>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</si>
  <si>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</si>
  <si>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</si>
  <si>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</si>
  <si>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</si>
  <si>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</si>
  <si>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</si>
  <si>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</si>
  <si>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</si>
  <si>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</si>
  <si>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</si>
  <si>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</si>
  <si>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</si>
  <si>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</si>
  <si>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</si>
  <si>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</si>
  <si>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</si>
  <si>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</si>
  <si>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</si>
  <si>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</si>
  <si>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</si>
  <si>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</si>
  <si>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</si>
  <si>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</si>
  <si>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</si>
  <si>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</si>
  <si>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</si>
  <si>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</si>
  <si>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</si>
  <si>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</si>
  <si>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</si>
  <si>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</si>
  <si>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</si>
  <si>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</si>
  <si>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</si>
  <si>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</si>
  <si>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</si>
  <si>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</si>
  <si>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</si>
  <si>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</si>
  <si>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</si>
  <si>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</si>
  <si>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</si>
  <si>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</si>
  <si>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</si>
  <si>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</si>
  <si>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</si>
  <si>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</si>
  <si>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</si>
  <si>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</si>
  <si>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</si>
  <si>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</si>
  <si>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</si>
  <si>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</si>
  <si>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</si>
  <si>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</si>
  <si>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</si>
  <si>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</si>
  <si>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</si>
  <si>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</si>
  <si>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</si>
  <si>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</si>
  <si>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</si>
  <si>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</si>
  <si>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</si>
  <si>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</si>
  <si>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</si>
  <si>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</si>
  <si>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</si>
  <si>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</si>
  <si>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</si>
  <si>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</si>
  <si>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</si>
  <si>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</si>
  <si>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</si>
  <si>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</si>
  <si>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</si>
  <si>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</si>
  <si>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</si>
  <si>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</si>
  <si>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</si>
  <si>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</si>
  <si>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</si>
  <si>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</si>
  <si>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</si>
  <si>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</si>
  <si>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</si>
  <si>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</si>
  <si>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</si>
  <si>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</si>
  <si>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</si>
  <si>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</si>
  <si>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</si>
  <si>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</si>
  <si>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</si>
  <si>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</si>
  <si>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</si>
  <si>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</si>
  <si>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</si>
  <si>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</si>
  <si>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</si>
  <si>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</si>
  <si>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</si>
  <si>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</si>
  <si>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</si>
  <si>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</si>
  <si>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</si>
  <si>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</si>
  <si>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</si>
  <si>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</si>
  <si>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</si>
  <si>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</si>
  <si>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</si>
  <si>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</si>
  <si>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</si>
  <si>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</si>
  <si>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</si>
  <si>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</si>
  <si>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</si>
  <si>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</si>
  <si>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</si>
  <si>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</si>
  <si>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</si>
  <si>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</si>
  <si>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</si>
  <si>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</si>
  <si>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</si>
  <si>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</si>
  <si>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</si>
  <si>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</si>
  <si>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</si>
  <si>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</si>
  <si>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</si>
  <si>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</si>
  <si>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</si>
  <si>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</si>
  <si>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</si>
  <si>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</si>
  <si>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</si>
  <si>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</si>
  <si>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</si>
  <si>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</si>
  <si>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</si>
  <si>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</si>
  <si>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</si>
  <si>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</si>
  <si>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</si>
  <si>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</si>
  <si>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</si>
  <si>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</si>
  <si>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</si>
  <si>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</si>
  <si>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</si>
  <si>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</si>
  <si>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</si>
  <si>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</si>
  <si>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</si>
  <si>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</si>
  <si>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</si>
  <si>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</si>
  <si>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</si>
  <si>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</si>
  <si>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</si>
  <si>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</si>
  <si>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</si>
  <si>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</si>
  <si>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</si>
  <si>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</si>
  <si>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</si>
  <si>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</si>
  <si>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</si>
  <si>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</si>
  <si>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</si>
  <si>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</si>
  <si>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</si>
  <si>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</si>
  <si>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</si>
  <si>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</si>
  <si>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</si>
  <si>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</si>
  <si>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</si>
  <si>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</si>
  <si>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</si>
  <si>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</si>
  <si>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</si>
  <si>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</si>
  <si>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</si>
  <si>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</si>
  <si>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</si>
  <si>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</si>
  <si>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</si>
  <si>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</si>
  <si>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</si>
  <si>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</si>
  <si>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</si>
  <si>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</si>
  <si>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</si>
  <si>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</si>
  <si>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</si>
  <si>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</si>
  <si>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</si>
  <si>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</si>
  <si>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</si>
  <si>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</si>
  <si>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</si>
  <si>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</si>
  <si>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</si>
  <si>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</si>
  <si>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</si>
  <si>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</si>
  <si>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</si>
  <si>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</si>
  <si>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</si>
  <si>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</si>
  <si>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</si>
  <si>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</si>
  <si>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</si>
  <si>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</si>
  <si>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</si>
  <si>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</si>
  <si>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</si>
  <si>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</si>
  <si>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</si>
  <si>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</si>
  <si>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</si>
  <si>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</si>
  <si>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</si>
  <si>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</si>
  <si>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</si>
  <si>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</si>
  <si>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</si>
  <si>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</si>
  <si>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</si>
  <si>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</si>
  <si>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</si>
  <si>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</si>
  <si>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</si>
  <si>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</si>
  <si>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</si>
  <si>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</si>
  <si>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</si>
  <si>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</si>
  <si>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</si>
  <si>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</si>
  <si>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</si>
  <si>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</si>
  <si>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</si>
  <si>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</si>
  <si>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</si>
  <si>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</si>
  <si>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</si>
  <si>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</si>
  <si>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</si>
  <si>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</si>
  <si>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</si>
  <si>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</si>
  <si>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</si>
  <si>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</si>
  <si>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</si>
  <si>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</si>
  <si>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</si>
  <si>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</si>
  <si>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</si>
  <si>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</si>
  <si>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</si>
  <si>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</si>
  <si>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</si>
  <si>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</si>
  <si>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</si>
  <si>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</si>
  <si>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</si>
  <si>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</si>
  <si>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</si>
  <si>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</si>
  <si>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</si>
  <si>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</si>
  <si>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</si>
  <si>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</si>
  <si>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</si>
  <si>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</si>
  <si>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</si>
  <si>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</si>
  <si>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</si>
  <si>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</si>
  <si>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</si>
  <si>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</si>
  <si>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</si>
  <si>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</si>
  <si>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</si>
  <si>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</si>
  <si>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</si>
  <si>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</si>
  <si>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</si>
  <si>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</si>
  <si>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</si>
  <si>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</si>
  <si>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</si>
  <si>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</si>
  <si>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</si>
  <si>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</si>
  <si>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</si>
  <si>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</si>
  <si>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</si>
  <si>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</si>
  <si>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</si>
  <si>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</si>
  <si>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</si>
  <si>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</si>
  <si>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</si>
  <si>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</si>
  <si>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</si>
  <si>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</si>
  <si>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</si>
  <si>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</si>
  <si>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</si>
  <si>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</si>
  <si>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</si>
  <si>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</si>
  <si>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</si>
  <si>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</si>
  <si>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</si>
  <si>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</si>
  <si>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</si>
  <si>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</si>
  <si>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</si>
  <si>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</si>
  <si>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</si>
  <si>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</si>
  <si>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</si>
  <si>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</si>
  <si>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</si>
  <si>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</si>
  <si>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</si>
  <si>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</si>
  <si>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</si>
  <si>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</si>
  <si>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</si>
  <si>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</si>
  <si>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</si>
  <si>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</si>
  <si>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</si>
  <si>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</si>
  <si>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</si>
  <si>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</si>
  <si>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</si>
  <si>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</si>
  <si>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</si>
  <si>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</si>
  <si>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</si>
  <si>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</si>
  <si>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</si>
  <si>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</si>
  <si>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</si>
  <si>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</si>
  <si>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</si>
  <si>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</si>
  <si>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</si>
  <si>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</si>
  <si>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</si>
  <si>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</si>
  <si>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</si>
  <si>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</si>
  <si>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</si>
  <si>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</si>
  <si>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</si>
  <si>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</si>
  <si>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</si>
  <si>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</si>
  <si>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</si>
  <si>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</si>
  <si>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</si>
  <si>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</si>
  <si>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</si>
  <si>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</si>
  <si>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</si>
  <si>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</si>
  <si>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</si>
  <si>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</si>
  <si>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</si>
  <si>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</si>
  <si>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</si>
  <si>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</si>
  <si>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</si>
  <si>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</si>
  <si>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</si>
  <si>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</si>
  <si>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</si>
  <si>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</si>
  <si>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</si>
  <si>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</si>
  <si>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</si>
  <si>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</si>
  <si>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</si>
  <si>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</si>
  <si>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</si>
  <si>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</si>
  <si>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</si>
  <si>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</si>
  <si>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</si>
  <si>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</si>
  <si>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</si>
  <si>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</si>
  <si>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</si>
  <si>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</si>
  <si>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</si>
  <si>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</si>
  <si>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</si>
  <si>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</si>
  <si>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</si>
  <si>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</si>
  <si>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</si>
  <si>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</si>
  <si>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</si>
  <si>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</si>
  <si>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</si>
  <si>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</si>
  <si>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</si>
  <si>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</si>
  <si>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</si>
  <si>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</si>
  <si>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</si>
  <si>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</si>
  <si>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</si>
  <si>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</si>
  <si>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</si>
  <si>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</si>
  <si>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</si>
  <si>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</si>
  <si>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</si>
  <si>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</si>
  <si>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</si>
  <si>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</si>
  <si>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</si>
  <si>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</si>
  <si>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</si>
  <si>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</si>
  <si>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</si>
  <si>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</si>
  <si>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</si>
  <si>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</si>
  <si>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</si>
  <si>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</si>
  <si>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</si>
  <si>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</si>
  <si>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</si>
  <si>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</si>
  <si>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</si>
  <si>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</si>
  <si>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</si>
  <si>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</si>
  <si>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</si>
  <si>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</si>
  <si>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</si>
  <si>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</si>
  <si>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</si>
  <si>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</si>
  <si>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</si>
  <si>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</si>
  <si>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</si>
  <si>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</si>
  <si>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</si>
  <si>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</si>
  <si>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</si>
  <si>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</si>
  <si>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</si>
  <si>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</si>
  <si>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</si>
  <si>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</si>
  <si>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</si>
  <si>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</si>
  <si>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</si>
  <si>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</si>
  <si>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</si>
  <si>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</si>
  <si>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</si>
  <si>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</si>
  <si>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</si>
  <si>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</si>
  <si>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</si>
  <si>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</si>
  <si>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</si>
  <si>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</si>
  <si>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</si>
  <si>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</si>
  <si>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</si>
  <si>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</si>
  <si>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</si>
  <si>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</si>
  <si>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</si>
  <si>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</si>
  <si>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</si>
  <si>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</si>
  <si>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</si>
  <si>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</si>
  <si>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</si>
  <si>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</si>
  <si>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</si>
  <si>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</si>
  <si>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</si>
  <si>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</si>
  <si>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</si>
  <si>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</si>
  <si>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</si>
  <si>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</si>
  <si>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</si>
  <si>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</si>
  <si>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</si>
  <si>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</si>
  <si>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</si>
  <si>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</si>
  <si>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</si>
  <si>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</si>
  <si>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</si>
  <si>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</si>
  <si>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</si>
  <si>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</si>
  <si>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</si>
  <si>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</si>
  <si>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</si>
  <si>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</si>
  <si>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</si>
  <si>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</si>
  <si>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</si>
  <si>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</si>
  <si>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</si>
  <si>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</si>
  <si>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</si>
  <si>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</si>
  <si>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</si>
  <si>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</si>
  <si>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</si>
  <si>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</si>
  <si>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</si>
  <si>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</si>
  <si>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</si>
  <si>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</si>
  <si>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</si>
  <si>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</si>
  <si>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</si>
  <si>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</si>
  <si>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</si>
  <si>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</si>
  <si>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</si>
  <si>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</si>
  <si>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</si>
  <si>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</si>
  <si>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</si>
  <si>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</si>
  <si>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</si>
  <si>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</si>
  <si>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</si>
  <si>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</si>
  <si>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</si>
  <si>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</si>
  <si>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</si>
  <si>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</si>
  <si>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</si>
  <si>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</si>
  <si>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</si>
  <si>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</si>
  <si>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</si>
  <si>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</si>
  <si>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</si>
  <si>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</si>
  <si>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</si>
  <si>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</si>
  <si>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</si>
  <si>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</si>
  <si>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</si>
  <si>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</si>
  <si>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</si>
  <si>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</si>
  <si>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</si>
  <si>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</si>
  <si>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</si>
  <si>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</si>
  <si>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</si>
  <si>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</si>
  <si>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</si>
  <si>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</si>
  <si>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</si>
  <si>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</si>
  <si>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</si>
  <si>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</si>
  <si>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</si>
  <si>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</si>
  <si>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</si>
  <si>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</si>
  <si>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</si>
  <si>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</si>
  <si>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</si>
  <si>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</si>
  <si>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</si>
  <si>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</si>
  <si>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</si>
  <si>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</si>
  <si>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</si>
  <si>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</si>
  <si>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</si>
  <si>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</si>
  <si>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</si>
  <si>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</si>
  <si>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</si>
  <si>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</si>
  <si>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</si>
  <si>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</si>
  <si>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</si>
  <si>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</si>
  <si>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</si>
  <si>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</si>
  <si>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</si>
  <si>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</si>
  <si>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</si>
  <si>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</si>
  <si>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</si>
  <si>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</si>
  <si>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</si>
  <si>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</si>
  <si>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</si>
  <si>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</si>
  <si>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</si>
  <si>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</si>
  <si>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</si>
  <si>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</si>
  <si>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</si>
  <si>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</si>
  <si>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</si>
  <si>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</si>
  <si>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</si>
  <si>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</si>
  <si>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</si>
  <si>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</si>
  <si>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</si>
  <si>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</si>
  <si>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</si>
  <si>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</si>
  <si>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</si>
  <si>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</si>
  <si>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</si>
  <si>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</si>
  <si>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</si>
  <si>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</si>
  <si>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</si>
  <si>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</si>
  <si>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</si>
  <si>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</si>
  <si>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</si>
  <si>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</si>
  <si>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</si>
  <si>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</si>
  <si>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</si>
  <si>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</si>
  <si>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</si>
  <si>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</si>
  <si>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</si>
  <si>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</si>
  <si>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</si>
  <si>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</si>
  <si>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</si>
  <si>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</si>
  <si>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</si>
  <si>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</si>
  <si>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</si>
  <si>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</si>
  <si>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</si>
  <si>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</si>
  <si>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</si>
  <si>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</si>
  <si>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</si>
  <si>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</si>
  <si>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</si>
  <si>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</si>
  <si>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</si>
  <si>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</si>
  <si>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</si>
  <si>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</si>
  <si>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</si>
  <si>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</si>
  <si>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</si>
  <si>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</si>
  <si>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</si>
  <si>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</si>
  <si>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</si>
  <si>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</si>
  <si>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</si>
  <si>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</si>
  <si>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</si>
  <si>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</si>
  <si>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</si>
  <si>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</si>
  <si>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</si>
  <si>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</si>
  <si>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</si>
  <si>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</si>
  <si>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</si>
  <si>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</si>
  <si>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</si>
  <si>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</si>
  <si>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</si>
  <si>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</si>
  <si>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</si>
  <si>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</si>
  <si>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</si>
  <si>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</si>
  <si>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</si>
  <si>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</si>
  <si>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</si>
  <si>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</si>
  <si>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</si>
  <si>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</si>
  <si>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</si>
  <si>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</si>
  <si>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</si>
  <si>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</si>
  <si>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</si>
  <si>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</si>
  <si>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</si>
  <si>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</si>
  <si>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</si>
  <si>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</si>
  <si>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</si>
  <si>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</si>
  <si>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</si>
  <si>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</si>
  <si>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</si>
  <si>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</si>
  <si>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</si>
  <si>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</si>
  <si>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</si>
  <si>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</si>
  <si>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</si>
  <si>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</si>
  <si>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</si>
  <si>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</si>
  <si>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</si>
  <si>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</si>
  <si>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</si>
  <si>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</si>
  <si>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</si>
  <si>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</si>
  <si>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</si>
  <si>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</si>
  <si>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</si>
  <si>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</si>
  <si>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</si>
  <si>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</si>
  <si>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</si>
  <si>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</si>
  <si>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</si>
  <si>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</si>
  <si>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</si>
  <si>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</si>
  <si>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</si>
  <si>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</si>
  <si>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</si>
  <si>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</si>
  <si>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</si>
  <si>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</si>
  <si>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</si>
  <si>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</si>
  <si>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</si>
  <si>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</si>
  <si>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</si>
  <si>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</si>
  <si>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</si>
  <si>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</si>
  <si>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</si>
  <si>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</si>
  <si>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</si>
  <si>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</si>
  <si>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</si>
  <si>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</si>
  <si>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</si>
  <si>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</si>
  <si>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</si>
  <si>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</si>
  <si>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</si>
  <si>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</si>
  <si>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</si>
  <si>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</si>
  <si>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</si>
  <si>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</si>
  <si>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</si>
  <si>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</si>
  <si>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</si>
  <si>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</si>
  <si>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</si>
  <si>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</si>
  <si>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</si>
  <si>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</si>
  <si>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</si>
  <si>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</si>
  <si>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</si>
  <si>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</si>
  <si>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</si>
  <si>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</si>
  <si>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</si>
  <si>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</si>
  <si>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</si>
  <si>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</si>
  <si>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</si>
  <si>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</si>
  <si>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</si>
  <si>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</si>
  <si>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</si>
  <si>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</si>
  <si>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</si>
  <si>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</si>
  <si>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</si>
  <si>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</si>
  <si>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</si>
  <si>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</si>
  <si>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</si>
  <si>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</si>
  <si>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</si>
  <si>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</si>
  <si>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</si>
  <si>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</si>
  <si>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</si>
  <si>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</si>
  <si>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</si>
  <si>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</si>
  <si>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</si>
  <si>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</si>
  <si>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</si>
  <si>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</si>
  <si>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</si>
  <si>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</si>
  <si>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</si>
  <si>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</si>
  <si>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</si>
  <si>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</si>
  <si>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</si>
  <si>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</si>
  <si>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</si>
  <si>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</si>
  <si>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</si>
  <si>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</si>
  <si>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</si>
  <si>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</si>
  <si>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</si>
  <si>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</si>
  <si>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</si>
  <si>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</si>
  <si>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</si>
  <si>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</si>
  <si>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</si>
  <si>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</si>
  <si>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</si>
  <si>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</si>
  <si>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</si>
  <si>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</si>
  <si>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</si>
  <si>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</si>
  <si>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</si>
  <si>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</si>
  <si>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</si>
  <si>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</si>
  <si>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</si>
  <si>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</si>
  <si>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</si>
  <si>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</si>
  <si>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</si>
  <si>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</si>
  <si>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</si>
  <si>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</si>
  <si>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</si>
  <si>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</si>
  <si>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</si>
  <si>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</si>
  <si>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</si>
  <si>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</si>
  <si>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</si>
  <si>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</si>
  <si>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</si>
  <si>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</si>
  <si>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</si>
  <si>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</si>
  <si>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</si>
  <si>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</si>
  <si>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</si>
  <si>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</si>
  <si>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</si>
  <si>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</si>
  <si>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</si>
  <si>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</si>
  <si>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</si>
  <si>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</si>
  <si>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</si>
  <si>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</si>
  <si>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</si>
  <si>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</si>
  <si>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</si>
  <si>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</si>
  <si>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</si>
  <si>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</si>
  <si>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</si>
  <si>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</si>
  <si>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</si>
  <si>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</si>
  <si>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</si>
  <si>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</si>
  <si>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</si>
  <si>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</si>
  <si>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</si>
  <si>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</si>
  <si>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</si>
  <si>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</si>
  <si>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</si>
  <si>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</si>
  <si>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</si>
  <si>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</si>
  <si>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</si>
  <si>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</si>
  <si>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</si>
  <si>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</si>
  <si>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</si>
  <si>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</si>
  <si>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</si>
  <si>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</si>
  <si>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</si>
  <si>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</si>
  <si>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</si>
  <si>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</si>
  <si>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</si>
  <si>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</si>
  <si>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</si>
  <si>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</si>
  <si>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</si>
  <si>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</si>
  <si>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</si>
  <si>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</si>
  <si>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</si>
  <si>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</si>
  <si>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</si>
  <si>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</si>
  <si>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</si>
  <si>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</si>
  <si>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</si>
  <si>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</si>
  <si>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</si>
  <si>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</si>
  <si>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</si>
  <si>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</si>
  <si>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</si>
  <si>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</si>
  <si>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</si>
  <si>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</si>
  <si>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</si>
  <si>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</si>
  <si>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</si>
  <si>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</si>
  <si>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</si>
  <si>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</si>
  <si>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</si>
  <si>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</si>
  <si>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</si>
  <si>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Z3_OLBV_T3_s3</t>
  </si>
  <si>
    <t>suppression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</si>
</sst>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74.14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190.61672709137741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0.83194969565217392</v>
      </c>
      <c r="H5" s="143">
        <f>CdTrp1!C215+CdTrp2!C215+CdTrp3!C215+CdTrp4!C215</f>
        <v>0.83194969565217392</v>
      </c>
      <c r="I5" s="143">
        <f>CdTrp1!D215+CdTrp2!D215+CdTrp3!D215+CdTrp4!D215</f>
        <v>0.75143843478260874</v>
      </c>
      <c r="J5" s="143">
        <f>CdTrp1!E215+CdTrp2!E215+CdTrp3!E215+CdTrp4!E215</f>
        <v>0.75143843478260874</v>
      </c>
      <c r="K5" s="143">
        <f>CdTrp1!F215+CdTrp2!F215+CdTrp3!F215+CdTrp4!F215</f>
        <v>0.83194969565217392</v>
      </c>
      <c r="L5" s="143">
        <f>CdTrp1!G215+CdTrp2!G215+CdTrp3!G215+CdTrp4!G215</f>
        <v>6.0942336136956534</v>
      </c>
      <c r="M5" s="143">
        <f>CdTrp1!H215+CdTrp2!H215+CdTrp3!H215+CdTrp4!H215</f>
        <v>8.469587152173915</v>
      </c>
      <c r="N5" s="143">
        <f>CdTrp1!I215+CdTrp2!I215+CdTrp3!I215+CdTrp4!I215</f>
        <v>5.8448730717391326</v>
      </c>
      <c r="O5" s="143">
        <f>CdTrp1!J215+CdTrp2!J215+CdTrp3!J215+CdTrp4!J215</f>
        <v>7.0158149423478262</v>
      </c>
      <c r="P5" s="143">
        <f>CdTrp1!K215+CdTrp2!K215+CdTrp3!K215+CdTrp4!K215</f>
        <v>6.3753888240000016</v>
      </c>
      <c r="Q5" s="143">
        <f>CdTrp1!L215+CdTrp2!L215+CdTrp3!L215+CdTrp4!L215</f>
        <v>6.8032308795652181</v>
      </c>
      <c r="R5" s="143">
        <f>CdTrp1!M215+CdTrp2!M215+CdTrp3!M215+CdTrp4!M215</f>
        <v>6.8032308795652181</v>
      </c>
      <c r="S5" s="143">
        <f>CdTrp1!N215+CdTrp2!N215+CdTrp3!N215+CdTrp4!N215</f>
        <v>7.0300052422173929</v>
      </c>
      <c r="T5" s="143">
        <f>CdTrp1!O215+CdTrp2!O215+CdTrp3!O215+CdTrp4!O215</f>
        <v>7.0300052422173929</v>
      </c>
      <c r="U5" s="143">
        <f>CdTrp1!P215+CdTrp2!P215+CdTrp3!P215+CdTrp4!P215</f>
        <v>7.0300052422173929</v>
      </c>
      <c r="V5" s="143">
        <f>CdTrp1!Q215+CdTrp2!Q215+CdTrp3!Q215+CdTrp4!Q215</f>
        <v>7.0300052422173929</v>
      </c>
      <c r="W5" s="143">
        <f>CdTrp1!R215+CdTrp2!R215+CdTrp3!R215+CdTrp4!R215</f>
        <v>7.6087206391304365</v>
      </c>
      <c r="X5" s="143">
        <f>CdTrp1!S215+CdTrp2!S215+CdTrp3!S215+CdTrp4!S215</f>
        <v>7.6087206391304365</v>
      </c>
      <c r="Y5" s="143">
        <f>CdTrp1!T215+CdTrp2!T215+CdTrp3!T215+CdTrp4!T215</f>
        <v>3.8575708363043479</v>
      </c>
      <c r="Z5" s="143">
        <f>CdTrp1!U215+CdTrp2!U215+CdTrp3!U215+CdTrp4!U215</f>
        <v>6.0615133630434794</v>
      </c>
      <c r="AA5" s="143">
        <f>CdTrp1!V215+CdTrp2!V215+CdTrp3!V215+CdTrp4!V215</f>
        <v>0.86244260869565215</v>
      </c>
      <c r="AB5" s="143">
        <f>CdTrp1!W215+CdTrp2!W215+CdTrp3!W215+CdTrp4!W215</f>
        <v>0.83377760869565221</v>
      </c>
      <c r="AC5" s="143">
        <f>CdTrp1!X215+CdTrp2!X215+CdTrp3!X215+CdTrp4!X215</f>
        <v>0.83194969565217392</v>
      </c>
      <c r="AD5" s="143">
        <f>CdTrp1!Y215+CdTrp2!Y215+CdTrp3!Y215+CdTrp4!Y215</f>
        <v>0.83194969565217392</v>
      </c>
      <c r="AE5" s="153"/>
      <c r="AF5" s="144">
        <f>AF8+AF9</f>
        <v>168.25777211478263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1.4217839999999997</v>
      </c>
      <c r="L6" s="143">
        <f>CdTrp1!G216+CdTrp2!G216+CdTrp3!G216+CdTrp4!G216</f>
        <v>1.4810249999999998</v>
      </c>
      <c r="M6" s="143">
        <f>CdTrp1!H216+CdTrp2!H216+CdTrp3!H216+CdTrp4!H216</f>
        <v>1.4905799999999998</v>
      </c>
      <c r="N6" s="143">
        <f>CdTrp1!I216+CdTrp2!I216+CdTrp3!I216+CdTrp4!I216</f>
        <v>4.0934501999999995</v>
      </c>
      <c r="O6" s="143">
        <f>CdTrp1!J216+CdTrp2!J216+CdTrp3!J216+CdTrp4!J216</f>
        <v>4.1753512500000003</v>
      </c>
      <c r="P6" s="143">
        <f>CdTrp1!K216+CdTrp2!K216+CdTrp3!K216+CdTrp4!K216</f>
        <v>4.1753512500000003</v>
      </c>
      <c r="Q6" s="143">
        <f>CdTrp1!L216+CdTrp2!L216+CdTrp3!L216+CdTrp4!L216</f>
        <v>1.5479099999999999</v>
      </c>
      <c r="R6" s="143">
        <f>CdTrp1!M216+CdTrp2!M216+CdTrp3!M216+CdTrp4!M216</f>
        <v>1.5479099999999999</v>
      </c>
      <c r="S6" s="143">
        <f>CdTrp1!N216+CdTrp2!N216+CdTrp3!N216+CdTrp4!N216</f>
        <v>1.5995069999999996</v>
      </c>
      <c r="T6" s="143">
        <f>CdTrp1!O216+CdTrp2!O216+CdTrp3!O216+CdTrp4!O216</f>
        <v>1.5995069999999996</v>
      </c>
      <c r="U6" s="143">
        <f>CdTrp1!P216+CdTrp2!P216+CdTrp3!P216+CdTrp4!P216</f>
        <v>1.5995069999999996</v>
      </c>
      <c r="V6" s="143">
        <f>CdTrp1!Q216+CdTrp2!Q216+CdTrp3!Q216+CdTrp4!Q216</f>
        <v>1.5995069999999996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2.8555984799999998</v>
      </c>
      <c r="Z6" s="143">
        <f>CdTrp1!U216+CdTrp2!U216+CdTrp3!U216+CdTrp4!U216</f>
        <v>2.8949709599999998</v>
      </c>
      <c r="AA6" s="143">
        <f>CdTrp1!V216+CdTrp2!V216+CdTrp3!V216+CdTrp4!V216</f>
        <v>2.9210075999999994</v>
      </c>
      <c r="AB6" s="143">
        <f>CdTrp1!W216+CdTrp2!W216+CdTrp3!W216+CdTrp4!W216</f>
        <v>2.9511719999999997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177.4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7.5752586136956532</v>
      </c>
      <c r="M8" s="143">
        <f t="shared" si="0"/>
        <v>9.9601671521739146</v>
      </c>
      <c r="N8" s="143">
        <f t="shared" si="0"/>
        <v>9.938323271739133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8.351140879565218</v>
      </c>
      <c r="R8" s="143">
        <f t="shared" si="0"/>
        <v>8.351140879565218</v>
      </c>
      <c r="S8" s="143">
        <f t="shared" si="0"/>
        <v>8.6295122422173929</v>
      </c>
      <c r="T8" s="143">
        <f t="shared" si="0"/>
        <v>8.6295122422173929</v>
      </c>
      <c r="U8" s="143">
        <f t="shared" si="0"/>
        <v>8.6295122422173929</v>
      </c>
      <c r="V8" s="143">
        <f t="shared" si="0"/>
        <v>8.6295122422173929</v>
      </c>
      <c r="W8" s="143">
        <f t="shared" si="0"/>
        <v>8.9846406391304363</v>
      </c>
      <c r="X8" s="143">
        <f t="shared" si="0"/>
        <v>8.9846406391304363</v>
      </c>
      <c r="Y8" s="143">
        <f t="shared" si="0"/>
        <v>6.7131693163043478</v>
      </c>
      <c r="Z8" s="143">
        <f t="shared" si="0"/>
        <v>8.9564843230434796</v>
      </c>
      <c r="AA8" s="143">
        <f t="shared" si="0"/>
        <v>3.7834502086956516</v>
      </c>
      <c r="AB8" s="143">
        <f t="shared" si="0"/>
        <v>3.7849496086956518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148.72773011478262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2.4927524999999999</v>
      </c>
      <c r="S9" s="143">
        <f>CdTrp1!N218+CdTrp2!N218+CdTrp3!N218+CdTrp4!N218</f>
        <v>2.5758442500000003</v>
      </c>
      <c r="T9" s="143">
        <f>CdTrp1!O218+CdTrp2!O218+CdTrp3!O218+CdTrp4!O218</f>
        <v>2.5758442500000003</v>
      </c>
      <c r="U9" s="143">
        <f>CdTrp1!P218+CdTrp2!P218+CdTrp3!P218+CdTrp4!P218</f>
        <v>2.5758442500000003</v>
      </c>
      <c r="V9" s="143">
        <f>CdTrp1!Q218+CdTrp2!Q218+CdTrp3!Q218+CdTrp4!Q218</f>
        <v>2.5758442500000003</v>
      </c>
      <c r="W9" s="143">
        <f>CdTrp1!R218+CdTrp2!R218+CdTrp3!R218+CdTrp4!R218</f>
        <v>2.1205799999999999</v>
      </c>
      <c r="X9" s="143">
        <f>CdTrp1!S218+CdTrp2!S218+CdTrp3!S218+CdTrp4!S218</f>
        <v>2.1205799999999999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19.530042000000002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</v>
      </c>
      <c r="H18" s="158">
        <f>G18/G17</f>
        <v>0.49484536082474229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20.5</v>
      </c>
      <c r="H19" s="158">
        <f>G19/G17</f>
        <v>0.42268041237113402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6" sqref="R16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7.5752586136956532</v>
      </c>
      <c r="AY5" s="13">
        <f>'Conduite Trp'!M8</f>
        <v>9.9601671521739146</v>
      </c>
      <c r="AZ5" s="13">
        <f>'Conduite Trp'!N8</f>
        <v>9.938323271739133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8.351140879565218</v>
      </c>
      <c r="BD5" s="13">
        <f>'Conduite Trp'!R8</f>
        <v>8.351140879565218</v>
      </c>
      <c r="BE5" s="13">
        <f>'Conduite Trp'!S8</f>
        <v>8.6295122422173929</v>
      </c>
      <c r="BF5" s="13">
        <f>'Conduite Trp'!T8</f>
        <v>8.6295122422173929</v>
      </c>
      <c r="BG5" s="13">
        <f>'Conduite Trp'!U8</f>
        <v>8.6295122422173929</v>
      </c>
      <c r="BH5" s="13">
        <f>'Conduite Trp'!V8</f>
        <v>8.6295122422173929</v>
      </c>
      <c r="BI5" s="13">
        <f>'Conduite Trp'!W8</f>
        <v>8.9846406391304363</v>
      </c>
      <c r="BJ5" s="13">
        <f>'Conduite Trp'!X8</f>
        <v>8.9846406391304363</v>
      </c>
      <c r="BK5" s="13">
        <f>'Conduite Trp'!Y8</f>
        <v>6.7131693163043478</v>
      </c>
      <c r="BL5" s="13">
        <f>'Conduite Trp'!Z8</f>
        <v>8.9564843230434796</v>
      </c>
      <c r="BM5" s="13">
        <f>'Conduite Trp'!AA8</f>
        <v>3.7834502086956516</v>
      </c>
      <c r="BN5" s="13">
        <f>'Conduite Trp'!AB8</f>
        <v>3.7849496086956518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324</v>
      </c>
      <c r="R7" s="39">
        <v>3.6</v>
      </c>
      <c r="S7" s="290" t="str">
        <f>VLOOKUP($Q7,[1]MEP!$A$5:$D$300,3)</f>
        <v>PP BONNE pâturage étalé</v>
      </c>
      <c r="T7" s="76" t="str">
        <f>VLOOKUP($Q7,[1]MEP!$A$5:$D$300,4)</f>
        <v>zone 3</v>
      </c>
      <c r="U7" s="76" t="str">
        <f>VLOOKUP($Q7,[1]MEP!$A$4:$K$300,2)</f>
        <v>P</v>
      </c>
      <c r="V7" s="76">
        <f>VLOOKUP($Q7,[1]MEP!$A$4:$K$300,5)</f>
        <v>3.5</v>
      </c>
      <c r="W7" s="76">
        <f>VLOOKUP($Q7,[1]MEP!$A$4:$K$300,6)</f>
        <v>2.5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12.6</v>
      </c>
      <c r="AF7" s="61">
        <f t="shared" ref="AF7:AF26" si="1">$R7*W7</f>
        <v>9</v>
      </c>
      <c r="AG7" s="61">
        <f t="shared" ref="AG7:AG26" si="2">$R7*X7</f>
        <v>9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9.9601671521739146</v>
      </c>
      <c r="AZ7" s="61">
        <f t="shared" si="7"/>
        <v>9.938323271739133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8.351140879565218</v>
      </c>
      <c r="BD7" s="61">
        <f t="shared" si="7"/>
        <v>8.351140879565218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58.342678449391315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74.14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21.6</v>
      </c>
      <c r="P8">
        <v>2</v>
      </c>
      <c r="Q8" s="39">
        <v>302</v>
      </c>
      <c r="R8" s="39">
        <v>0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8.6295122422173929</v>
      </c>
      <c r="BF8" s="61">
        <f t="shared" si="8"/>
        <v>8.6295122422173929</v>
      </c>
      <c r="BG8" s="61">
        <f t="shared" si="8"/>
        <v>8.6295122422173929</v>
      </c>
      <c r="BH8" s="61">
        <f t="shared" si="8"/>
        <v>8.6295122422173929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34.518048968869572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74.14</v>
      </c>
      <c r="G9" s="81"/>
      <c r="H9" s="61">
        <f>SUM(L34:L43)</f>
        <v>9</v>
      </c>
      <c r="I9" s="81"/>
      <c r="J9" s="81"/>
      <c r="K9" s="93">
        <f>H9-F9</f>
        <v>-65.14</v>
      </c>
      <c r="L9" s="81"/>
      <c r="M9" s="100"/>
      <c r="P9">
        <v>3</v>
      </c>
      <c r="Q9" s="39">
        <v>228</v>
      </c>
      <c r="R9" s="39">
        <v>11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17.600000000000001</v>
      </c>
      <c r="AF9" s="61">
        <f t="shared" si="1"/>
        <v>15.399999999999999</v>
      </c>
      <c r="AG9" s="61">
        <f t="shared" si="2"/>
        <v>13.2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7.5752586136956532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8.9846406391304363</v>
      </c>
      <c r="BJ9" s="61">
        <f t="shared" si="10"/>
        <v>8.9846406391304363</v>
      </c>
      <c r="BK9" s="61">
        <f t="shared" si="10"/>
        <v>6.7131693163043478</v>
      </c>
      <c r="BL9" s="61">
        <f t="shared" si="10"/>
        <v>8.9564843230434796</v>
      </c>
      <c r="BM9" s="61">
        <f t="shared" si="10"/>
        <v>3.7834502086956516</v>
      </c>
      <c r="BN9" s="61">
        <f t="shared" si="10"/>
        <v>3.7849496086956518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55.867002696521737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2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3.6</v>
      </c>
      <c r="AF11" s="61">
        <f t="shared" si="1"/>
        <v>2.4</v>
      </c>
      <c r="AG11" s="61">
        <f t="shared" si="2"/>
        <v>5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10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129</v>
      </c>
      <c r="R14" s="39"/>
      <c r="S14" s="290" t="str">
        <f>VLOOKUP($Q14,[1]MEP!$A$5:$D$300,3)</f>
        <v>PP bonne 1 coupe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1.07</v>
      </c>
      <c r="W14" s="76">
        <f>VLOOKUP($Q14,[1]MEP!$A$4:$K$300,6)</f>
        <v>1.498</v>
      </c>
      <c r="X14" s="76">
        <f>VLOOKUP($Q14,[1]MEP!$A$4:$K$300,7)</f>
        <v>2.3540000000000005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3.6379999999999999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303</v>
      </c>
      <c r="R15" s="39">
        <v>1</v>
      </c>
      <c r="S15" s="290" t="str">
        <f>VLOOKUP($Q15,[1]MEP!$A$5:$D$300,3)</f>
        <v>PP EXCELLENTE PATUREE ovn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3.5</v>
      </c>
      <c r="X15" s="76">
        <f>VLOOKUP($Q15,[1]MEP!$A$4:$K$300,7)</f>
        <v>3.5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3.5</v>
      </c>
      <c r="AF15" s="61">
        <f t="shared" si="1"/>
        <v>3.5</v>
      </c>
      <c r="AG15" s="61">
        <f t="shared" si="2"/>
        <v>3.5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0.83194969565217392</v>
      </c>
      <c r="AT15" s="13">
        <f>'Conduite Trp'!H5</f>
        <v>0.83194969565217392</v>
      </c>
      <c r="AU15" s="13">
        <f>'Conduite Trp'!I5</f>
        <v>0.75143843478260874</v>
      </c>
      <c r="AV15" s="13">
        <f>'Conduite Trp'!J5</f>
        <v>0.75143843478260874</v>
      </c>
      <c r="AW15" s="13">
        <f>'Conduite Trp'!K5</f>
        <v>0.83194969565217392</v>
      </c>
      <c r="AX15" s="13">
        <f>'Conduite Trp'!L5</f>
        <v>6.0942336136956534</v>
      </c>
      <c r="AY15" s="13">
        <f>'Conduite Trp'!M5</f>
        <v>8.469587152173915</v>
      </c>
      <c r="AZ15" s="13">
        <f>'Conduite Trp'!N5</f>
        <v>5.8448730717391326</v>
      </c>
      <c r="BA15" s="13">
        <f>'Conduite Trp'!O5</f>
        <v>7.0158149423478262</v>
      </c>
      <c r="BB15" s="13">
        <f>'Conduite Trp'!P5</f>
        <v>6.3753888240000016</v>
      </c>
      <c r="BC15" s="13">
        <f>'Conduite Trp'!Q5</f>
        <v>6.8032308795652181</v>
      </c>
      <c r="BD15" s="13">
        <f>'Conduite Trp'!R5</f>
        <v>6.8032308795652181</v>
      </c>
      <c r="BE15" s="13">
        <f>'Conduite Trp'!S5</f>
        <v>7.0300052422173929</v>
      </c>
      <c r="BF15" s="13">
        <f>'Conduite Trp'!T5</f>
        <v>7.0300052422173929</v>
      </c>
      <c r="BG15" s="13">
        <f>'Conduite Trp'!U5</f>
        <v>7.0300052422173929</v>
      </c>
      <c r="BH15" s="13">
        <f>'Conduite Trp'!V5</f>
        <v>7.0300052422173929</v>
      </c>
      <c r="BI15" s="13">
        <f>'Conduite Trp'!W5</f>
        <v>7.6087206391304365</v>
      </c>
      <c r="BJ15" s="13">
        <f>'Conduite Trp'!X5</f>
        <v>7.6087206391304365</v>
      </c>
      <c r="BK15" s="13">
        <f>'Conduite Trp'!Y5</f>
        <v>3.8575708363043479</v>
      </c>
      <c r="BL15" s="13">
        <f>'Conduite Trp'!Z5</f>
        <v>6.0615133630434794</v>
      </c>
      <c r="BM15" s="13">
        <f>'Conduite Trp'!AA5</f>
        <v>0.86244260869565215</v>
      </c>
      <c r="BN15" s="13">
        <f>'Conduite Trp'!AB5</f>
        <v>0.83377760869565221</v>
      </c>
      <c r="BO15" s="13">
        <f>'Conduite Trp'!AC5</f>
        <v>0.83194969565217392</v>
      </c>
      <c r="BP15" s="13">
        <f>'Conduite Trp'!AD5</f>
        <v>0.83194969565217392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1.4217839999999997</v>
      </c>
      <c r="AX16" s="13">
        <f>'Conduite Trp'!L6</f>
        <v>1.4810249999999998</v>
      </c>
      <c r="AY16" s="13">
        <f>'Conduite Trp'!M6</f>
        <v>1.4905799999999998</v>
      </c>
      <c r="AZ16" s="13">
        <f>'Conduite Trp'!N6</f>
        <v>4.0934501999999995</v>
      </c>
      <c r="BA16" s="13">
        <f>'Conduite Trp'!O6</f>
        <v>4.1753512500000003</v>
      </c>
      <c r="BB16" s="13">
        <f>'Conduite Trp'!P6</f>
        <v>4.1753512500000003</v>
      </c>
      <c r="BC16" s="13">
        <f>'Conduite Trp'!Q6</f>
        <v>1.5479099999999999</v>
      </c>
      <c r="BD16" s="13">
        <f>'Conduite Trp'!R6</f>
        <v>1.5479099999999999</v>
      </c>
      <c r="BE16" s="13">
        <f>'Conduite Trp'!S6</f>
        <v>1.5995069999999996</v>
      </c>
      <c r="BF16" s="13">
        <f>'Conduite Trp'!T6</f>
        <v>1.5995069999999996</v>
      </c>
      <c r="BG16" s="13">
        <f>'Conduite Trp'!U6</f>
        <v>1.5995069999999996</v>
      </c>
      <c r="BH16" s="13">
        <f>'Conduite Trp'!V6</f>
        <v>1.5995069999999996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2.8555984799999998</v>
      </c>
      <c r="BL16" s="13">
        <f>'Conduite Trp'!Z6</f>
        <v>2.8949709599999998</v>
      </c>
      <c r="BM16" s="13">
        <f>'Conduite Trp'!AA6</f>
        <v>2.9210075999999994</v>
      </c>
      <c r="BN16" s="13">
        <f>'Conduite Trp'!AB6</f>
        <v>2.9511719999999997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8.469587152173915</v>
      </c>
      <c r="AZ19" s="61">
        <f t="shared" si="15"/>
        <v>5.8448730717391326</v>
      </c>
      <c r="BA19" s="61">
        <f t="shared" si="15"/>
        <v>7.0158149423478262</v>
      </c>
      <c r="BB19" s="61">
        <f t="shared" si="15"/>
        <v>6.3753888240000016</v>
      </c>
      <c r="BC19" s="61">
        <f t="shared" si="15"/>
        <v>6.8032308795652181</v>
      </c>
      <c r="BD19" s="61">
        <f t="shared" si="15"/>
        <v>6.8032308795652181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41.312125749391313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7.0300052422173929</v>
      </c>
      <c r="BF20" s="61">
        <f t="shared" si="16"/>
        <v>7.0300052422173929</v>
      </c>
      <c r="BG20" s="61">
        <f t="shared" si="16"/>
        <v>7.0300052422173929</v>
      </c>
      <c r="BH20" s="61">
        <f t="shared" si="16"/>
        <v>7.0300052422173929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28.120020968869571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0.83194969565217392</v>
      </c>
      <c r="AT21" s="61">
        <f t="shared" ref="AT21:BP21" si="18">IF(AT$4=3,AT$15,0)</f>
        <v>0.83194969565217392</v>
      </c>
      <c r="AU21" s="61">
        <f t="shared" si="18"/>
        <v>0.75143843478260874</v>
      </c>
      <c r="AV21" s="61">
        <f t="shared" si="18"/>
        <v>0.75143843478260874</v>
      </c>
      <c r="AW21" s="61">
        <f t="shared" si="18"/>
        <v>0.83194969565217392</v>
      </c>
      <c r="AX21" s="61">
        <f t="shared" si="18"/>
        <v>6.0942336136956534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7.6087206391304365</v>
      </c>
      <c r="BJ21" s="61">
        <f t="shared" si="18"/>
        <v>7.6087206391304365</v>
      </c>
      <c r="BK21" s="61">
        <f t="shared" si="18"/>
        <v>3.8575708363043479</v>
      </c>
      <c r="BL21" s="61">
        <f t="shared" si="18"/>
        <v>6.0615133630434794</v>
      </c>
      <c r="BM21" s="61">
        <f t="shared" si="18"/>
        <v>0.86244260869565215</v>
      </c>
      <c r="BN21" s="61">
        <f t="shared" si="18"/>
        <v>0.83377760869565221</v>
      </c>
      <c r="BO21" s="61">
        <f t="shared" si="18"/>
        <v>0.83194969565217392</v>
      </c>
      <c r="BP21" s="61">
        <f t="shared" si="18"/>
        <v>0.83194969565217392</v>
      </c>
      <c r="BR21" s="61">
        <f t="shared" si="17"/>
        <v>38.589604656521743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58.626200000000011</v>
      </c>
      <c r="E24" s="61">
        <f t="shared" si="21"/>
        <v>36.644999999999996</v>
      </c>
      <c r="F24" s="61">
        <f t="shared" si="21"/>
        <v>64.513999999999996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81.035160000000005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58.342678449391315</v>
      </c>
      <c r="E25" s="61">
        <f>BR8</f>
        <v>34.518048968869572</v>
      </c>
      <c r="F25" s="61">
        <f>BR9</f>
        <v>55.867002696521737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177.4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0.28352155060869677</v>
      </c>
      <c r="E27" s="93">
        <f t="shared" si="23"/>
        <v>2.1269510311304245</v>
      </c>
      <c r="F27" s="93">
        <f t="shared" si="23"/>
        <v>8.6469973034782583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-96.364840000000001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41.580000000000005</v>
      </c>
      <c r="AF27" s="75">
        <f t="shared" ref="AF27:AJ27" si="24">SUM(AF7:AF26)</f>
        <v>30.299999999999997</v>
      </c>
      <c r="AG27" s="75">
        <f t="shared" si="24"/>
        <v>40.543999999999997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33.968000000000004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1.4905799999999998</v>
      </c>
      <c r="AZ27" s="61">
        <f t="shared" si="25"/>
        <v>4.0934501999999995</v>
      </c>
      <c r="BA27" s="61">
        <f t="shared" si="25"/>
        <v>4.1753512500000003</v>
      </c>
      <c r="BB27" s="61">
        <f t="shared" si="25"/>
        <v>4.1753512500000003</v>
      </c>
      <c r="BC27" s="61">
        <f t="shared" si="25"/>
        <v>1.5479099999999999</v>
      </c>
      <c r="BD27" s="61">
        <f t="shared" si="25"/>
        <v>1.5479099999999999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17.030552700000001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1.5995069999999996</v>
      </c>
      <c r="BF28" s="61">
        <f t="shared" si="26"/>
        <v>1.5995069999999996</v>
      </c>
      <c r="BG28" s="61">
        <f t="shared" si="26"/>
        <v>1.5995069999999996</v>
      </c>
      <c r="BH28" s="61">
        <f t="shared" si="26"/>
        <v>1.5995069999999996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6.3980279999999983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1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3.5</v>
      </c>
      <c r="AF29" s="61">
        <f t="shared" ref="AF29:AF48" si="29">$R29*W29</f>
        <v>2.6</v>
      </c>
      <c r="AG29" s="61">
        <f t="shared" ref="AG29:AG48" si="30">$R29*X29</f>
        <v>1.5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1.4217839999999997</v>
      </c>
      <c r="AX29" s="61">
        <f t="shared" si="35"/>
        <v>1.4810249999999998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2.8555984799999998</v>
      </c>
      <c r="BL29" s="61">
        <f t="shared" si="35"/>
        <v>2.8949709599999998</v>
      </c>
      <c r="BM29" s="61">
        <f t="shared" si="35"/>
        <v>2.9210075999999994</v>
      </c>
      <c r="BN29" s="61">
        <f t="shared" si="35"/>
        <v>2.9511719999999997</v>
      </c>
      <c r="BO29" s="61">
        <f t="shared" si="35"/>
        <v>0</v>
      </c>
      <c r="BP29" s="61">
        <f t="shared" si="35"/>
        <v>0</v>
      </c>
      <c r="BR29" s="61">
        <f t="shared" si="27"/>
        <v>17.277398039999998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2.5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2.6750000000000003</v>
      </c>
      <c r="AF31" s="61">
        <f t="shared" si="29"/>
        <v>3.7450000000000001</v>
      </c>
      <c r="AG31" s="61">
        <f t="shared" si="30"/>
        <v>5.8850000000000016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9.0949999999999989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17.046200000000002</v>
      </c>
      <c r="AF49" s="75">
        <f t="shared" ref="AF49" si="50">SUM(AF29:AF48)</f>
        <v>6.3450000000000006</v>
      </c>
      <c r="AG49" s="75">
        <f t="shared" ref="AG49" si="51">SUM(AG29:AG48)</f>
        <v>23.970000000000002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47.067160000000001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41.580000000000005</v>
      </c>
      <c r="E72" s="61">
        <f t="shared" ref="E72:H72" si="69">AF27</f>
        <v>30.299999999999997</v>
      </c>
      <c r="F72" s="61">
        <f t="shared" si="69"/>
        <v>40.543999999999997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81.035160000000005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41.312125749391313</v>
      </c>
      <c r="E73" s="61">
        <f>BR20</f>
        <v>28.120020968869571</v>
      </c>
      <c r="F73" s="61">
        <f>BR21</f>
        <v>38.589604656521743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177.4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0.26787425060869197</v>
      </c>
      <c r="E75" s="93">
        <f t="shared" ref="E75:I75" si="71">E72-E73</f>
        <v>2.1799790311304257</v>
      </c>
      <c r="F75" s="93">
        <f t="shared" si="71"/>
        <v>1.9543953434782537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-96.364840000000001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17.046200000000002</v>
      </c>
      <c r="E82" s="61">
        <f t="shared" ref="E82:H82" si="72">AF49</f>
        <v>6.3450000000000006</v>
      </c>
      <c r="F82" s="61">
        <f t="shared" si="72"/>
        <v>23.970000000000002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17.030552700000001</v>
      </c>
      <c r="E83" s="61">
        <f>BR28</f>
        <v>6.3980279999999983</v>
      </c>
      <c r="F83" s="61">
        <f>BR29</f>
        <v>17.277398039999998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1.5647300000001252E-2</v>
      </c>
      <c r="E85" s="93">
        <f t="shared" ref="E85:H85" si="73">E82-E83</f>
        <v>-5.3027999999997633E-2</v>
      </c>
      <c r="F85" s="93">
        <f t="shared" si="73"/>
        <v>6.6926019600000046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</v>
      </c>
      <c r="L3" s="8">
        <f t="shared" ref="L3:L32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2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IF(I5=$Y$11,SQRT(L5*10000),SQRT(Parcellaire!L5*10000)/$AC$12)</f>
        <v>0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2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</v>
      </c>
      <c r="L8" s="8">
        <f t="shared" si="8"/>
        <v>0</v>
      </c>
      <c r="M8" s="10">
        <f>IF(I8=$Y$11,SQRT(L8*10000),SQRT(Parcellaire!L8*10000)/$AC$12)</f>
        <v>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0</v>
      </c>
      <c r="U8" s="10">
        <f t="shared" ref="U8:U9" si="13">IF(C8=2,Q8*M8,0)</f>
        <v>0</v>
      </c>
      <c r="V8" s="27">
        <f t="shared" ref="V8:V9" si="14">O8*M8</f>
        <v>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2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</v>
      </c>
      <c r="L9" s="8">
        <f t="shared" si="8"/>
        <v>0</v>
      </c>
      <c r="M9" s="10">
        <f>IF(I9=$Y$11,SQRT(L9*10000),SQRT(Parcellaire!L9*10000)/$AC$12)</f>
        <v>0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0</v>
      </c>
      <c r="U9" s="10">
        <f t="shared" si="13"/>
        <v>0</v>
      </c>
      <c r="V9" s="27">
        <f t="shared" si="14"/>
        <v>0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5292.9818655249192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5292.9818655249192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22.5</v>
      </c>
      <c r="H66" s="170"/>
      <c r="I66" s="170">
        <f>SUMIF(Parcellaire!$B$2:$B$65,1,Parcellaire!I2:I65)</f>
        <v>40</v>
      </c>
      <c r="J66" s="170">
        <f>SUMIF(Parcellaire!$B$2:$B$65,1,Parcellaire!J2:J65)</f>
        <v>8</v>
      </c>
      <c r="K66" s="170">
        <f>SUMIF(Parcellaire!$B$2:$B$65,1,Parcellaire!K2:K65)</f>
        <v>23.95</v>
      </c>
      <c r="L66" s="170">
        <f>SUMIF(Parcellaire!$B$2:$B$65,1,Parcellaire!L2:L65)</f>
        <v>25.858000000000004</v>
      </c>
      <c r="M66" s="170">
        <f>SUMIF(Parcellaire!$B$2:$B$65,1,Parcellaire!M2:M65)</f>
        <v>1253.6778592630194</v>
      </c>
      <c r="N66" s="170">
        <f>SUMIF(Parcellaire!$B$2:$B$65,1,Parcellaire!N2:N65)</f>
        <v>90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36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5292.9818655249192</v>
      </c>
      <c r="U66" s="170">
        <f>SUMIF(Parcellaire!$B$2:$B$65,1,Parcellaire!U2:U65)</f>
        <v>3528.6545770166131</v>
      </c>
      <c r="V66" s="170">
        <f>SUMIF(Parcellaire!$B$2:$B$65,1,Parcellaire!V2:V65)</f>
        <v>7057.3091540332262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2" zoomScale="80" zoomScaleNormal="80" workbookViewId="0">
      <selection activeCell="K64" sqref="K64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15.5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11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23.1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34.1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3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>
        <v>1</v>
      </c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17.600000000000001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2</v>
      </c>
      <c r="T168" s="173">
        <f>VLOOKUP(R168,[1]MEP!$A$4:$M$300,13)</f>
        <v>1</v>
      </c>
      <c r="U168" s="173">
        <f t="shared" si="10"/>
        <v>2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129</v>
      </c>
      <c r="S171" s="173">
        <f>Alim_Surf!R14</f>
        <v>0</v>
      </c>
      <c r="T171" s="173">
        <f>VLOOKUP(R171,[1]MEP!$A$4:$M$300,13)</f>
        <v>1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303</v>
      </c>
      <c r="S172" s="173">
        <f>Alim_Surf!R15</f>
        <v>1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1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1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1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1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1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2.5</v>
      </c>
      <c r="T188" s="173">
        <f>VLOOKUP(R188,[1]MEP!$A$4:$M$300,13)</f>
        <v>1</v>
      </c>
      <c r="U188" s="173">
        <f t="shared" si="10"/>
        <v>2.5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2.5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2.5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32.1</v>
      </c>
      <c r="U228" s="62">
        <f>SUM(U164:U227)</f>
        <v>15.5</v>
      </c>
      <c r="V228" s="62">
        <f t="shared" ref="V228:W228" si="22">SUM(V164:V227)</f>
        <v>11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23.1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16.600000000000001</v>
      </c>
      <c r="AI228" s="62">
        <f t="shared" si="24"/>
        <v>4.5</v>
      </c>
      <c r="AJ228" s="62">
        <f t="shared" si="24"/>
        <v>2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M24" zoomScale="90" zoomScaleNormal="90" workbookViewId="0">
      <selection activeCell="AF33" sqref="AF3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5294</v>
      </c>
      <c r="AQ4">
        <f>SUM(BJ31:BL31)</f>
        <v>22.5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2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2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0</v>
      </c>
      <c r="BC10" s="30">
        <f>ROUND(Parcellaire!U8,0)</f>
        <v>0</v>
      </c>
      <c r="BD10" s="30" t="str">
        <f>IF(AW10=2,"",VLOOKUP(AY10,[1]MEP!$X$5:$AA$250,4))</f>
        <v/>
      </c>
      <c r="BE10" s="30" t="str">
        <f>IF(AW10=2,"",VLOOKUP(BD10,[1]MEP!$AC$5:$AD$10,2))</f>
        <v/>
      </c>
      <c r="BF10" s="30" t="str">
        <f t="shared" si="10"/>
        <v>AU</v>
      </c>
      <c r="BG10" s="173">
        <f t="shared" si="11"/>
        <v>0</v>
      </c>
      <c r="BH10" s="173">
        <f t="shared" si="4"/>
        <v>0</v>
      </c>
      <c r="BI10" s="173">
        <f t="shared" si="5"/>
        <v>0</v>
      </c>
      <c r="BJ10" s="173">
        <f t="shared" si="6"/>
        <v>0</v>
      </c>
      <c r="BK10" s="173">
        <f t="shared" si="7"/>
        <v>0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2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/>
      </c>
      <c r="BE11" s="30" t="str">
        <f>IF(AW11=2,"",VLOOKUP(BD11,[1]MEP!$AC$5:$AD$10,2))</f>
        <v/>
      </c>
      <c r="BF11" s="30" t="str">
        <f t="shared" si="10"/>
        <v>AU</v>
      </c>
      <c r="BG11" s="173">
        <f t="shared" si="11"/>
        <v>0</v>
      </c>
      <c r="BH11" s="173">
        <f t="shared" si="4"/>
        <v>0</v>
      </c>
      <c r="BI11" s="173">
        <f t="shared" si="5"/>
        <v>0</v>
      </c>
      <c r="BJ11" s="173">
        <f t="shared" si="6"/>
        <v>0</v>
      </c>
      <c r="BK11" s="173">
        <f t="shared" si="7"/>
        <v>0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5294</v>
      </c>
      <c r="AE20" s="64">
        <v>0</v>
      </c>
      <c r="AF20" s="64">
        <f>SUM(AD20:AE20)</f>
        <v>5294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5294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5294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22.5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0</v>
      </c>
      <c r="BJ31" s="62">
        <f t="shared" si="27"/>
        <v>0</v>
      </c>
      <c r="BK31" s="62">
        <f t="shared" si="27"/>
        <v>22.5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/>
      <c r="AF33" s="295" t="s">
        <v>1467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8</v>
      </c>
      <c r="N34" s="177">
        <f t="shared" si="29"/>
        <v>8</v>
      </c>
      <c r="O34" s="177">
        <f t="shared" si="29"/>
        <v>8</v>
      </c>
      <c r="P34" s="177">
        <f t="shared" si="29"/>
        <v>8</v>
      </c>
      <c r="Q34" s="177">
        <f t="shared" si="29"/>
        <v>8</v>
      </c>
      <c r="R34" s="177">
        <f t="shared" si="29"/>
        <v>8</v>
      </c>
      <c r="S34" s="177">
        <f t="shared" si="29"/>
        <v>8</v>
      </c>
      <c r="T34" s="177">
        <f t="shared" si="29"/>
        <v>8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2</v>
      </c>
      <c r="N43" s="62">
        <f t="shared" si="36"/>
        <v>2</v>
      </c>
      <c r="O43" s="62">
        <f t="shared" si="36"/>
        <v>2</v>
      </c>
      <c r="P43" s="62">
        <f t="shared" si="36"/>
        <v>2</v>
      </c>
      <c r="Q43" s="62">
        <f t="shared" si="36"/>
        <v>2</v>
      </c>
      <c r="R43" s="62">
        <f t="shared" si="36"/>
        <v>2</v>
      </c>
      <c r="S43" s="62">
        <f t="shared" si="36"/>
        <v>2</v>
      </c>
      <c r="T43" s="62">
        <f t="shared" si="36"/>
        <v>2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2</v>
      </c>
      <c r="V123" s="30">
        <f>CdTrp2!U76</f>
        <v>2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2</v>
      </c>
      <c r="J124" s="30">
        <f>CdTrp2!I77</f>
        <v>2</v>
      </c>
      <c r="K124" s="30">
        <f>CdTrp2!J77</f>
        <v>2</v>
      </c>
      <c r="L124" s="30">
        <f>CdTrp2!K77</f>
        <v>2</v>
      </c>
      <c r="M124" s="30">
        <f>CdTrp2!L77</f>
        <v>2</v>
      </c>
      <c r="N124" s="30">
        <f>CdTrp2!M77</f>
        <v>2</v>
      </c>
      <c r="O124" s="30">
        <f>CdTrp2!N77</f>
        <v>2</v>
      </c>
      <c r="P124" s="30">
        <f>CdTrp2!O77</f>
        <v>2</v>
      </c>
      <c r="Q124" s="30">
        <f>CdTrp2!P77</f>
        <v>2</v>
      </c>
      <c r="R124" s="30">
        <f>CdTrp2!Q77</f>
        <v>2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4" activePane="bottomLeft" state="frozen"/>
      <selection activeCell="J83" sqref="J83"/>
      <selection pane="bottomLeft" activeCell="D74" sqref="D74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183.75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21</v>
      </c>
      <c r="N6" s="173">
        <f t="shared" si="2"/>
        <v>24.5</v>
      </c>
      <c r="O6" s="173">
        <f t="shared" si="2"/>
        <v>24.5</v>
      </c>
      <c r="P6" s="173">
        <f t="shared" si="2"/>
        <v>24.5</v>
      </c>
      <c r="Q6" s="173">
        <f t="shared" si="2"/>
        <v>10.5</v>
      </c>
      <c r="R6" s="173">
        <f t="shared" si="2"/>
        <v>10.5</v>
      </c>
      <c r="S6" s="173">
        <f t="shared" si="2"/>
        <v>10.5</v>
      </c>
      <c r="T6" s="173">
        <f t="shared" si="2"/>
        <v>10.5</v>
      </c>
      <c r="U6" s="173">
        <f t="shared" si="2"/>
        <v>10.5</v>
      </c>
      <c r="V6" s="173">
        <f t="shared" si="2"/>
        <v>10.5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22.75</v>
      </c>
      <c r="AA6" s="173">
        <f t="shared" si="2"/>
        <v>29.75</v>
      </c>
      <c r="AB6" s="173">
        <f t="shared" si="2"/>
        <v>29.75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1092.4957826086957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32.559891304347829</v>
      </c>
      <c r="S9" s="30">
        <f t="shared" si="4"/>
        <v>32.559891304347829</v>
      </c>
      <c r="T9" s="30">
        <f t="shared" si="4"/>
        <v>32.559891304347829</v>
      </c>
      <c r="U9" s="30">
        <f t="shared" si="4"/>
        <v>32.559891304347829</v>
      </c>
      <c r="V9" s="30">
        <f t="shared" si="4"/>
        <v>32.559891304347829</v>
      </c>
      <c r="W9" s="30">
        <f t="shared" si="4"/>
        <v>32.559891304347829</v>
      </c>
      <c r="X9" s="30">
        <f t="shared" si="4"/>
        <v>32.559891304347829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2476.7457826086943</v>
      </c>
      <c r="G13" s="30">
        <f>SUM(G5:G11)</f>
        <v>111.29832608695652</v>
      </c>
      <c r="H13" s="30">
        <f t="shared" ref="H13:AD13" si="8">SUM(H5:H11)</f>
        <v>111.18967391304348</v>
      </c>
      <c r="I13" s="30">
        <f t="shared" si="8"/>
        <v>116.33102173913043</v>
      </c>
      <c r="J13" s="30">
        <f t="shared" si="8"/>
        <v>130.27669565217391</v>
      </c>
      <c r="K13" s="30">
        <f t="shared" si="8"/>
        <v>130.22236956521738</v>
      </c>
      <c r="L13" s="30">
        <f t="shared" si="8"/>
        <v>135.41804347826087</v>
      </c>
      <c r="M13" s="30">
        <f t="shared" si="8"/>
        <v>124.86371739130435</v>
      </c>
      <c r="N13" s="30">
        <f t="shared" si="8"/>
        <v>128.30939130434783</v>
      </c>
      <c r="O13" s="30">
        <f t="shared" si="8"/>
        <v>128.20073913043478</v>
      </c>
      <c r="P13" s="30">
        <f t="shared" si="8"/>
        <v>106.05989130434783</v>
      </c>
      <c r="Q13" s="30">
        <f t="shared" si="8"/>
        <v>71.059891304347829</v>
      </c>
      <c r="R13" s="30">
        <f t="shared" si="8"/>
        <v>71.059891304347829</v>
      </c>
      <c r="S13" s="30">
        <f t="shared" si="8"/>
        <v>71.059891304347829</v>
      </c>
      <c r="T13" s="30">
        <f t="shared" si="8"/>
        <v>71.059891304347829</v>
      </c>
      <c r="U13" s="30">
        <f t="shared" si="8"/>
        <v>71.059891304347829</v>
      </c>
      <c r="V13" s="30">
        <f t="shared" si="8"/>
        <v>71.059891304347829</v>
      </c>
      <c r="W13" s="30">
        <f t="shared" si="8"/>
        <v>69.309891304347829</v>
      </c>
      <c r="X13" s="30">
        <f t="shared" si="8"/>
        <v>69.309891304347829</v>
      </c>
      <c r="Y13" s="30">
        <f t="shared" si="8"/>
        <v>104.30989130434783</v>
      </c>
      <c r="Z13" s="30">
        <f t="shared" si="8"/>
        <v>124.82095652173913</v>
      </c>
      <c r="AA13" s="30">
        <f t="shared" si="8"/>
        <v>117.82095652173913</v>
      </c>
      <c r="AB13" s="30">
        <f t="shared" si="8"/>
        <v>120.04832608695652</v>
      </c>
      <c r="AC13" s="30">
        <f t="shared" si="8"/>
        <v>111.29832608695652</v>
      </c>
      <c r="AD13" s="30">
        <f t="shared" si="8"/>
        <v>111.29832608695652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2</v>
      </c>
      <c r="CI49" s="173">
        <f>IF(CdTrp2!I77=1,1,IF(CdTrp2!I77=2,2,IF(CdTrp2!I77=3,2,0)))</f>
        <v>2</v>
      </c>
      <c r="CJ49" s="173">
        <f>IF(CdTrp2!J77=1,1,IF(CdTrp2!J77=2,2,IF(CdTrp2!J77=3,2,0)))</f>
        <v>2</v>
      </c>
      <c r="CK49" s="173">
        <f>IF(CdTrp2!K77=1,1,IF(CdTrp2!K77=2,2,IF(CdTrp2!K77=3,2,0)))</f>
        <v>2</v>
      </c>
      <c r="CL49" s="173">
        <f>IF(CdTrp2!L77=1,1,IF(CdTrp2!L77=2,2,IF(CdTrp2!L77=3,2,0)))</f>
        <v>2</v>
      </c>
      <c r="CM49" s="173">
        <f>IF(CdTrp2!M77=1,1,IF(CdTrp2!M77=2,2,IF(CdTrp2!M77=3,2,0)))</f>
        <v>2</v>
      </c>
      <c r="CN49" s="173">
        <f>IF(CdTrp2!N77=1,1,IF(CdTrp2!N77=2,2,IF(CdTrp2!N77=3,2,0)))</f>
        <v>2</v>
      </c>
      <c r="CO49" s="173">
        <f>IF(CdTrp2!O77=1,1,IF(CdTrp2!O77=2,2,IF(CdTrp2!O77=3,2,0)))</f>
        <v>2</v>
      </c>
      <c r="CP49" s="173">
        <f>IF(CdTrp2!P77=1,1,IF(CdTrp2!P77=2,2,IF(CdTrp2!P77=3,2,0)))</f>
        <v>2</v>
      </c>
      <c r="CQ49" s="173">
        <f>IF(CdTrp2!Q77=1,1,IF(CdTrp2!Q77=2,2,IF(CdTrp2!Q77=3,2,0)))</f>
        <v>2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32.1</v>
      </c>
      <c r="C54" s="190">
        <f>IF(B54&gt;[1]Trav!E119,[1]Trav!C119,[1]Trav!B119)</f>
        <v>1.4</v>
      </c>
      <c r="D54"/>
      <c r="E54" s="172"/>
      <c r="F54" s="173">
        <f t="shared" si="32"/>
        <v>45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15.5</v>
      </c>
      <c r="C55" s="190">
        <f>IF(B55&gt;[1]Trav!E121,[1]Trav!C121,[1]Trav!B121)</f>
        <v>7.2</v>
      </c>
      <c r="D55"/>
      <c r="E55" s="172"/>
      <c r="F55" s="173">
        <f t="shared" si="32"/>
        <v>112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11</v>
      </c>
      <c r="C56" s="190">
        <f>IF(B56&gt;[1]Trav!E121,[1]Trav!C121,[1]Trav!B121)</f>
        <v>7.2</v>
      </c>
      <c r="D56"/>
      <c r="E56" s="172"/>
      <c r="F56" s="173">
        <f t="shared" si="32"/>
        <v>79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212</v>
      </c>
      <c r="CI61" s="173">
        <f>IF(CI16=0,0,IF(CI38=3,0,VALUE(CONCATENATE(Travail!CI27,Travail!CI38,Travail!CI49))))</f>
        <v>212</v>
      </c>
      <c r="CJ61" s="173">
        <f>IF(CJ16=0,0,IF(CJ38=3,0,VALUE(CONCATENATE(Travail!CJ27,Travail!CJ38,Travail!CJ49))))</f>
        <v>212</v>
      </c>
      <c r="CK61" s="173">
        <f>IF(CK16=0,0,IF(CK38=3,0,VALUE(CONCATENATE(Travail!CK27,Travail!CK38,Travail!CK49))))</f>
        <v>212</v>
      </c>
      <c r="CL61" s="173">
        <f>IF(CL16=0,0,IF(CL38=3,0,VALUE(CONCATENATE(Travail!CL27,Travail!CL38,Travail!CL49))))</f>
        <v>212</v>
      </c>
      <c r="CM61" s="173">
        <f>IF(CM16=0,0,IF(CM38=3,0,VALUE(CONCATENATE(Travail!CM27,Travail!CM38,Travail!CM49))))</f>
        <v>212</v>
      </c>
      <c r="CN61" s="173">
        <f>IF(CN16=0,0,IF(CN38=3,0,VALUE(CONCATENATE(Travail!CN27,Travail!CN38,Travail!CN49))))</f>
        <v>212</v>
      </c>
      <c r="CO61" s="173">
        <f>IF(CO16=0,0,IF(CO38=3,0,VALUE(CONCATENATE(Travail!CO27,Travail!CO38,Travail!CO49))))</f>
        <v>212</v>
      </c>
      <c r="CP61" s="173">
        <f>IF(CP16=0,0,IF(CP38=3,0,VALUE(CONCATENATE(Travail!CP27,Travail!CP38,Travail!CP49))))</f>
        <v>212</v>
      </c>
      <c r="CQ61" s="173">
        <f>IF(CQ16=0,0,IF(CQ38=3,0,VALUE(CONCATENATE(Travail!CQ27,Travail!CQ38,Travail!CQ49))))</f>
        <v>212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10</v>
      </c>
      <c r="J73" s="173">
        <f>IF(AND(Troupeau!$C$3="BV",Scénario!$K$87&gt;2),Protection!F25*([1]Protect!$B$22+[1]Protect!$B$23),0)</f>
        <v>10</v>
      </c>
      <c r="K73" s="173">
        <f>IF(AND(Troupeau!$C$3="BV",Scénario!$K$87&gt;2),Protection!G25*([1]Protect!$B$22+[1]Protect!$B$23),0)</f>
        <v>10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15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10</v>
      </c>
      <c r="R73" s="173">
        <f>IF(AND(Troupeau!$C$3="BV",Scénario!$K$87&gt;2),Protection!N25*([1]Protect!$B$22+[1]Protect!$B$23),0)</f>
        <v>10</v>
      </c>
      <c r="S73" s="173">
        <f>IF(AND(Troupeau!$C$3="BV",Scénario!$K$87&gt;2),Protection!O25*([1]Protect!$B$22+[1]Protect!$B$23),0)</f>
        <v>10</v>
      </c>
      <c r="T73" s="173">
        <f>IF(AND(Troupeau!$C$3="BV",Scénario!$K$87&gt;2),Protection!P25*([1]Protect!$B$22+[1]Protect!$B$23),0)</f>
        <v>10</v>
      </c>
      <c r="U73" s="173">
        <f>IF(AND(Troupeau!$C$3="BV",Scénario!$K$87&gt;2),Protection!Q25*([1]Protect!$B$22+[1]Protect!$B$23),0)</f>
        <v>10</v>
      </c>
      <c r="V73" s="173">
        <f>IF(AND(Troupeau!$C$3="BV",Scénario!$K$87&gt;2),Protection!R25*([1]Protect!$B$22+[1]Protect!$B$23),0)</f>
        <v>10</v>
      </c>
      <c r="W73" s="173">
        <f>IF(AND(Troupeau!$C$3="BV",Scénario!$K$87&gt;2),Protection!S25*([1]Protect!$B$22+[1]Protect!$B$23),0)</f>
        <v>10</v>
      </c>
      <c r="X73" s="173">
        <f>IF(AND(Troupeau!$C$3="BV",Scénario!$K$87&gt;2),Protection!T25*([1]Protect!$B$22+[1]Protect!$B$23),0)</f>
        <v>10</v>
      </c>
      <c r="Y73" s="173">
        <f>IF(AND(Troupeau!$C$3="BV",Scénario!$K$87&gt;2),Protection!U25*([1]Protect!$B$22+[1]Protect!$B$23),0)</f>
        <v>15</v>
      </c>
      <c r="Z73" s="173">
        <f>IF(AND(Troupeau!$C$3="BV",Scénario!$K$87&gt;2),Protection!V25*([1]Protect!$B$22+[1]Protect!$B$23),0)</f>
        <v>15</v>
      </c>
      <c r="AA73" s="173">
        <f>IF(AND(Troupeau!$C$3="BV",Scénario!$K$87&gt;2),Protection!W25*([1]Protect!$B$22+[1]Protect!$B$23),0)</f>
        <v>15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529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28.5</v>
      </c>
      <c r="N77" s="46">
        <f t="shared" si="43"/>
        <v>28.5</v>
      </c>
      <c r="O77" s="46">
        <f t="shared" si="43"/>
        <v>28.5</v>
      </c>
      <c r="P77" s="46">
        <f t="shared" si="43"/>
        <v>28.5</v>
      </c>
      <c r="Q77" s="46">
        <f t="shared" si="43"/>
        <v>23.5</v>
      </c>
      <c r="R77" s="46">
        <f t="shared" si="43"/>
        <v>23.5</v>
      </c>
      <c r="S77" s="46">
        <f t="shared" si="43"/>
        <v>23.5</v>
      </c>
      <c r="T77" s="46">
        <f t="shared" si="43"/>
        <v>23.5</v>
      </c>
      <c r="U77" s="46">
        <f t="shared" si="43"/>
        <v>23.5</v>
      </c>
      <c r="V77" s="46">
        <f t="shared" si="43"/>
        <v>23.5</v>
      </c>
      <c r="W77" s="46">
        <f t="shared" si="43"/>
        <v>23.5</v>
      </c>
      <c r="X77" s="46">
        <f t="shared" si="43"/>
        <v>23.5</v>
      </c>
      <c r="Y77" s="46">
        <f t="shared" si="43"/>
        <v>28.5</v>
      </c>
      <c r="Z77" s="46">
        <f t="shared" si="43"/>
        <v>28.5</v>
      </c>
      <c r="AA77" s="46">
        <f t="shared" si="43"/>
        <v>23.5</v>
      </c>
      <c r="AB77" s="46">
        <f t="shared" si="43"/>
        <v>23.5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5.2939999999999996</v>
      </c>
      <c r="C83" s="190">
        <f>[1]Protect!$B$24+[1]Protect!$B$26</f>
        <v>0.33</v>
      </c>
      <c r="D83" s="172"/>
      <c r="E83" s="172"/>
      <c r="F83" s="173">
        <f>ROUND(B83*C83,1)</f>
        <v>1.7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4.2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299.5695652173913</v>
      </c>
      <c r="BH90" s="173">
        <f t="shared" si="60"/>
        <v>299.5695652173913</v>
      </c>
      <c r="BI90" s="173">
        <f t="shared" si="60"/>
        <v>299.5695652173913</v>
      </c>
      <c r="BJ90" s="173">
        <f t="shared" si="60"/>
        <v>299.5695652173913</v>
      </c>
      <c r="BK90" s="173">
        <f t="shared" si="60"/>
        <v>299.5695652173913</v>
      </c>
      <c r="BL90" s="173">
        <f t="shared" si="60"/>
        <v>299.5695652173913</v>
      </c>
      <c r="BM90" s="173">
        <f t="shared" si="60"/>
        <v>299.5695652173913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1666.4957826086957</v>
      </c>
      <c r="C91" s="5"/>
      <c r="D91" s="202">
        <f>B91/Troupeau!$B$17</f>
        <v>4.6680554134697356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687.75</v>
      </c>
      <c r="C92" s="5"/>
      <c r="D92" s="202">
        <f>IF(B92=0,0,B92/Troupeau!$C$17)</f>
        <v>32.75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2354.2457826086957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96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380.28260869565219</v>
      </c>
      <c r="BH99" s="62">
        <f t="shared" si="68"/>
        <v>380.28260869565219</v>
      </c>
      <c r="BI99" s="62">
        <f t="shared" si="68"/>
        <v>380.28260869565219</v>
      </c>
      <c r="BJ99" s="62">
        <f t="shared" si="68"/>
        <v>380.28260869565219</v>
      </c>
      <c r="BK99" s="62">
        <f t="shared" si="68"/>
        <v>380.28260869565219</v>
      </c>
      <c r="BL99" s="62">
        <f t="shared" si="68"/>
        <v>380.28260869565219</v>
      </c>
      <c r="BM99" s="62">
        <f t="shared" si="68"/>
        <v>380.28260869565219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7.605652173913044</v>
      </c>
      <c r="BH100" s="173">
        <f t="shared" si="71"/>
        <v>7.605652173913044</v>
      </c>
      <c r="BI100" s="173">
        <f t="shared" si="71"/>
        <v>7.605652173913044</v>
      </c>
      <c r="BJ100" s="173">
        <f t="shared" si="71"/>
        <v>7.605652173913044</v>
      </c>
      <c r="BK100" s="173">
        <f t="shared" si="71"/>
        <v>7.605652173913044</v>
      </c>
      <c r="BL100" s="173">
        <f t="shared" si="71"/>
        <v>7.605652173913044</v>
      </c>
      <c r="BM100" s="173">
        <f t="shared" si="71"/>
        <v>7.605652173913044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6.605652173913044</v>
      </c>
      <c r="BH101" s="173">
        <f t="shared" si="74"/>
        <v>6.605652173913044</v>
      </c>
      <c r="BI101" s="173">
        <f t="shared" si="74"/>
        <v>6.605652173913044</v>
      </c>
      <c r="BJ101" s="173">
        <f t="shared" si="74"/>
        <v>6.605652173913044</v>
      </c>
      <c r="BK101" s="173">
        <f t="shared" si="74"/>
        <v>6.605652173913044</v>
      </c>
      <c r="BL101" s="173">
        <f t="shared" si="74"/>
        <v>6.605652173913044</v>
      </c>
      <c r="BM101" s="173">
        <f t="shared" si="74"/>
        <v>6.605652173913044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32.559891304347829</v>
      </c>
      <c r="BH102" s="62">
        <f t="shared" si="77"/>
        <v>32.559891304347829</v>
      </c>
      <c r="BI102" s="62">
        <f t="shared" si="77"/>
        <v>32.559891304347829</v>
      </c>
      <c r="BJ102" s="62">
        <f t="shared" si="77"/>
        <v>32.559891304347829</v>
      </c>
      <c r="BK102" s="62">
        <f t="shared" si="77"/>
        <v>32.559891304347829</v>
      </c>
      <c r="BL102" s="62">
        <f t="shared" si="77"/>
        <v>32.559891304347829</v>
      </c>
      <c r="BM102" s="62">
        <f t="shared" si="77"/>
        <v>32.559891304347829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14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5.25</v>
      </c>
      <c r="CI107" s="190">
        <f>IF(CI61&gt;0,HLOOKUP(CI61,[1]Trav!$C$11:$O$31,$CA$105),0)</f>
        <v>5.25</v>
      </c>
      <c r="CJ107" s="190">
        <f>IF(CJ61&gt;0,HLOOKUP(CJ61,[1]Trav!$C$11:$O$31,$CA$105),0)</f>
        <v>5.25</v>
      </c>
      <c r="CK107" s="190">
        <f>IF(CK61&gt;0,HLOOKUP(CK61,[1]Trav!$C$11:$O$31,$CA$105),0)</f>
        <v>5.25</v>
      </c>
      <c r="CL107" s="190">
        <f>IF(CL61&gt;0,HLOOKUP(CL61,[1]Trav!$C$11:$O$31,$CA$105),0)</f>
        <v>5.25</v>
      </c>
      <c r="CM107" s="190">
        <f>IF(CM61&gt;0,HLOOKUP(CM61,[1]Trav!$C$11:$O$31,$CA$105),0)</f>
        <v>5.25</v>
      </c>
      <c r="CN107" s="190">
        <f>IF(CN61&gt;0,HLOOKUP(CN61,[1]Trav!$C$11:$O$31,$CA$105),0)</f>
        <v>5.25</v>
      </c>
      <c r="CO107" s="190">
        <f>IF(CO61&gt;0,HLOOKUP(CO61,[1]Trav!$C$11:$O$31,$CA$105),0)</f>
        <v>5.25</v>
      </c>
      <c r="CP107" s="190">
        <f>IF(CP61&gt;0,HLOOKUP(CP61,[1]Trav!$C$11:$O$31,$CA$105),0)</f>
        <v>5.25</v>
      </c>
      <c r="CQ107" s="190">
        <f>IF(CQ61&gt;0,HLOOKUP(CQ61,[1]Trav!$C$11:$O$31,$CA$105),0)</f>
        <v>5.25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287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5.9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21</v>
      </c>
      <c r="CI117" s="173">
        <f t="shared" si="84"/>
        <v>24.5</v>
      </c>
      <c r="CJ117" s="173">
        <f t="shared" si="84"/>
        <v>24.5</v>
      </c>
      <c r="CK117" s="173">
        <f t="shared" si="84"/>
        <v>24.5</v>
      </c>
      <c r="CL117" s="173">
        <f t="shared" si="84"/>
        <v>10.5</v>
      </c>
      <c r="CM117" s="173">
        <f t="shared" si="84"/>
        <v>10.5</v>
      </c>
      <c r="CN117" s="173">
        <f t="shared" si="84"/>
        <v>10.5</v>
      </c>
      <c r="CO117" s="173">
        <f t="shared" si="84"/>
        <v>10.5</v>
      </c>
      <c r="CP117" s="173">
        <f t="shared" si="84"/>
        <v>10.5</v>
      </c>
      <c r="CQ117" s="173">
        <f t="shared" si="84"/>
        <v>10.5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22.75</v>
      </c>
      <c r="CV117" s="173">
        <f t="shared" si="84"/>
        <v>29.75</v>
      </c>
      <c r="CW117" s="173">
        <f t="shared" si="84"/>
        <v>29.75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3262.219115942029</v>
      </c>
      <c r="D118" s="202">
        <f>B118/Troupeau!$B$17</f>
        <v>9.1378686721065243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885.75</v>
      </c>
      <c r="D119" s="202">
        <f>IF(B119=0,0,B119/Troupeau!$C$17)</f>
        <v>42.178571428571431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4147.969115942029</v>
      </c>
    </row>
    <row r="123" spans="1:132" x14ac:dyDescent="0.25">
      <c r="A123" s="2" t="s">
        <v>856</v>
      </c>
      <c r="B123" s="30">
        <f>B108</f>
        <v>287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23.9</v>
      </c>
    </row>
    <row r="128" spans="1:132" x14ac:dyDescent="0.25">
      <c r="A128" s="2" t="s">
        <v>873</v>
      </c>
      <c r="B128" s="201">
        <f>SUM(B122:B126)</f>
        <v>5263.8691159420287</v>
      </c>
    </row>
    <row r="129" spans="1:2" x14ac:dyDescent="0.25">
      <c r="A129" s="2" t="s">
        <v>874</v>
      </c>
      <c r="B129" s="30">
        <f>IF(Scénario!K129=1,Travail!F77+Travail!F86,F86)</f>
        <v>529</v>
      </c>
    </row>
    <row r="130" spans="1:2" x14ac:dyDescent="0.25">
      <c r="A130" s="2" t="s">
        <v>875</v>
      </c>
      <c r="B130" s="201">
        <f>ROUND((B128-B129)/(Scénario!K4+Scénario!K6),0)</f>
        <v>3157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N33" zoomScale="90" zoomScaleNormal="90" workbookViewId="0">
      <selection activeCell="S50" sqref="S5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1.1599999999999999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68.44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68.44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18.439999999999998</v>
      </c>
      <c r="AC40" s="190">
        <f>[1]Eco!$B$34</f>
        <v>70</v>
      </c>
      <c r="AD40" s="173">
        <f t="shared" si="21"/>
        <v>1290.7999999999997</v>
      </c>
      <c r="AE40" s="282">
        <f>IF($AJ$40=0,AB40*$AC$40,AD40*$AJ$40/100)</f>
        <v>1290.7999999999997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14958.3</v>
      </c>
      <c r="AE41" s="283">
        <f>ROUND(SUM(AE38:AE40)*T25,0)</f>
        <v>14958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68.44</v>
      </c>
      <c r="C42" s="215">
        <f>[1]Eco!$B$24</f>
        <v>97</v>
      </c>
      <c r="J42" s="173">
        <f>B42*C42</f>
        <v>6638.6799999999994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68.44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4585.4799999999996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14958</v>
      </c>
      <c r="K45" s="173"/>
      <c r="L45" s="173"/>
      <c r="M45" s="173"/>
      <c r="N45" s="173"/>
      <c r="O45" s="210"/>
      <c r="U45" s="14" t="s">
        <v>990</v>
      </c>
      <c r="V45" s="173">
        <f>S55</f>
        <v>30.08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68.44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118023.86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64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30.08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96.364840000000001</v>
      </c>
      <c r="C118" s="190">
        <f>IF(Scénario!$K$12="BV",[1]Eco!$B$78,IF(Scénario!$K$12="BL",[1]Eco!$B$77,[1]Eco!$B$76))</f>
        <v>223</v>
      </c>
      <c r="J118" s="173">
        <f>B118*C118</f>
        <v>21489.35932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65.14</v>
      </c>
      <c r="C119" s="190">
        <f>[1]Eco!$B$79</f>
        <v>80</v>
      </c>
      <c r="J119" s="173">
        <f>B119*C119</f>
        <v>5211.2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16.600000000000001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597.6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4.5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279.71999999999997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2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133.68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476.46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74219.979320000013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34.1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2949.65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15.5</v>
      </c>
      <c r="X153" t="s">
        <v>52</v>
      </c>
      <c r="Y153" s="173">
        <f>W153-Scénario!K28</f>
        <v>-14.5</v>
      </c>
      <c r="Z153" s="173">
        <f>Y153-Y156</f>
        <v>-14.5</v>
      </c>
    </row>
    <row r="154" spans="1:39" x14ac:dyDescent="0.25">
      <c r="A154" t="s">
        <v>1076</v>
      </c>
      <c r="B154" s="173">
        <f>Scénario!K48</f>
        <v>34.1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13217.16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11</v>
      </c>
      <c r="X154" t="s">
        <v>52</v>
      </c>
      <c r="Y154" s="173">
        <f>W154-Scénario!K29</f>
        <v>-3</v>
      </c>
      <c r="Z154" s="173">
        <f>Y154</f>
        <v>-3</v>
      </c>
    </row>
    <row r="155" spans="1:39" x14ac:dyDescent="0.25">
      <c r="A155" s="17" t="s">
        <v>1078</v>
      </c>
      <c r="B155" s="239">
        <f>B154</f>
        <v>34.1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2557.5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-14.5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-524.90000000000009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-3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-90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324</v>
      </c>
      <c r="S164" s="173">
        <f>Alim_Surf!R7</f>
        <v>3.6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3.6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3.6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17.600000000000001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312.89999999999998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3326.127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2</v>
      </c>
      <c r="T168" s="173">
        <f>VLOOKUP(R168,[1]MEP!$A$4:$M$300,13)</f>
        <v>1</v>
      </c>
      <c r="U168" s="173">
        <f t="shared" si="72"/>
        <v>2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37992.036999999997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129</v>
      </c>
      <c r="S171" s="173">
        <f>Alim_Surf!R14</f>
        <v>0</v>
      </c>
      <c r="T171" s="173">
        <f>VLOOKUP(R171,[1]MEP!$A$4:$M$300,13)</f>
        <v>1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303</v>
      </c>
      <c r="S172" s="173">
        <f>Alim_Surf!R15</f>
        <v>1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1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1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5811.8436799999909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3875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783.24271114049111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-7971.3990311405005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-5314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1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1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1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2.5</v>
      </c>
      <c r="T188" s="173">
        <f>VLOOKUP(R188,[1]MEP!$A$4:$M$300,13)</f>
        <v>1</v>
      </c>
      <c r="U188" s="173">
        <f t="shared" si="72"/>
        <v>2.5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2.5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2.5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32.1</v>
      </c>
      <c r="U228" s="62">
        <f>SUM(U164:U227)</f>
        <v>15.5</v>
      </c>
      <c r="V228" s="62">
        <f t="shared" ref="V228:W228" si="84">SUM(V164:V227)</f>
        <v>11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23.1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16.600000000000001</v>
      </c>
      <c r="AI228" s="62">
        <f t="shared" si="86"/>
        <v>4.5</v>
      </c>
      <c r="AJ228" s="62">
        <f t="shared" si="86"/>
        <v>2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5294</v>
      </c>
      <c r="U234" t="s">
        <v>1101</v>
      </c>
      <c r="V234" s="173"/>
      <c r="W234" s="173">
        <f>[1]Protect!$B$4</f>
        <v>6</v>
      </c>
      <c r="X234" s="173">
        <f>T234*W234</f>
        <v>31764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31764</v>
      </c>
      <c r="Z237" s="30">
        <f>IF(Scénario!K84=1,MIN(0.8*'Calcul éco'!X237,[1]Protect!$B$68),IF(Scénario!K84=2,MIN(0.8*'Calcul éco'!X237,[1]Protect!$B$67),0))</f>
        <v>25411.200000000001</v>
      </c>
      <c r="AA237" s="30">
        <f>X237-Z237</f>
        <v>6352.7999999999993</v>
      </c>
      <c r="AB237" s="30">
        <f>(Scénario!K127/100)*AA237</f>
        <v>0</v>
      </c>
      <c r="AC237" s="30">
        <f>AA237-AB237</f>
        <v>6352.7999999999993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783.24271114049111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79.41</v>
      </c>
      <c r="U272" s="173"/>
      <c r="V272" s="173"/>
      <c r="W272" s="173">
        <f>W234</f>
        <v>6</v>
      </c>
      <c r="X272" s="173">
        <f>T272*W272</f>
        <v>476.46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6"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Z3_OLBV_T3_s3</v>
      </c>
      <c r="D1" s="275" t="str">
        <f>CONCATENATE(C1,"_corr")</f>
        <v>Z3_OLBV_T3_s3_corr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3</v>
      </c>
      <c r="D51" s="177">
        <f t="shared" si="0"/>
        <v>3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1</v>
      </c>
      <c r="D55" s="177">
        <f t="shared" si="0"/>
        <v>1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17.600000000000001</v>
      </c>
      <c r="D78" s="258">
        <f t="shared" si="3"/>
        <v>16.690000000000001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15.5</v>
      </c>
      <c r="D85" s="261">
        <f>ROUND(C85*$D$82/$C$82,3)</f>
        <v>14.698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11</v>
      </c>
      <c r="D86" s="261">
        <f t="shared" ref="D86:D97" si="14">ROUND(C86*$D$82/$C$82,3)</f>
        <v>10.430999999999999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2</v>
      </c>
      <c r="AA105" s="30">
        <f>CdTrp2!U76</f>
        <v>2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2</v>
      </c>
      <c r="O106" s="30">
        <f>CdTrp2!I77</f>
        <v>2</v>
      </c>
      <c r="P106" s="30">
        <f>CdTrp2!J77</f>
        <v>2</v>
      </c>
      <c r="Q106" s="30">
        <f>CdTrp2!K77</f>
        <v>2</v>
      </c>
      <c r="R106" s="30">
        <f>CdTrp2!L77</f>
        <v>2</v>
      </c>
      <c r="S106" s="30">
        <f>CdTrp2!M77</f>
        <v>2</v>
      </c>
      <c r="T106" s="30">
        <f>CdTrp2!N77</f>
        <v>2</v>
      </c>
      <c r="U106" s="30">
        <f>CdTrp2!O77</f>
        <v>2</v>
      </c>
      <c r="V106" s="30">
        <f>CdTrp2!P77</f>
        <v>2</v>
      </c>
      <c r="W106" s="30">
        <f>CdTrp2!Q77</f>
        <v>2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2</v>
      </c>
      <c r="CI110" s="173">
        <f>IF(CdTrp2!I77=1,1,IF(CdTrp2!I77=2,2,IF(CdTrp2!I77=3,2,IF(CdTrp2!I77=4,4,0))))</f>
        <v>2</v>
      </c>
      <c r="CJ110" s="173">
        <f>IF(CdTrp2!J77=1,1,IF(CdTrp2!J77=2,2,IF(CdTrp2!J77=3,2,IF(CdTrp2!J77=4,4,0))))</f>
        <v>2</v>
      </c>
      <c r="CK110" s="173">
        <f>IF(CdTrp2!K77=1,1,IF(CdTrp2!K77=2,2,IF(CdTrp2!K77=3,2,IF(CdTrp2!K77=4,4,0))))</f>
        <v>2</v>
      </c>
      <c r="CL110" s="173">
        <f>IF(CdTrp2!L77=1,1,IF(CdTrp2!L77=2,2,IF(CdTrp2!L77=3,2,IF(CdTrp2!L77=4,4,0))))</f>
        <v>2</v>
      </c>
      <c r="CM110" s="173">
        <f>IF(CdTrp2!M77=1,1,IF(CdTrp2!M77=2,2,IF(CdTrp2!M77=3,2,IF(CdTrp2!M77=4,4,0))))</f>
        <v>2</v>
      </c>
      <c r="CN110" s="173">
        <f>IF(CdTrp2!N77=1,1,IF(CdTrp2!N77=2,2,IF(CdTrp2!N77=3,2,IF(CdTrp2!N77=4,4,0))))</f>
        <v>2</v>
      </c>
      <c r="CO110" s="173">
        <f>IF(CdTrp2!O77=1,1,IF(CdTrp2!O77=2,2,IF(CdTrp2!O77=3,2,IF(CdTrp2!O77=4,4,0))))</f>
        <v>2</v>
      </c>
      <c r="CP110" s="173">
        <f>IF(CdTrp2!P77=1,1,IF(CdTrp2!P77=2,2,IF(CdTrp2!P77=3,2,IF(CdTrp2!P77=4,4,0))))</f>
        <v>2</v>
      </c>
      <c r="CQ110" s="173">
        <f>IF(CdTrp2!Q77=1,1,IF(CdTrp2!Q77=2,2,IF(CdTrp2!Q77=3,2,IF(CdTrp2!Q77=4,4,0))))</f>
        <v>2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3.5</v>
      </c>
      <c r="D111" s="173">
        <f t="shared" si="25"/>
        <v>3.5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20.5</v>
      </c>
      <c r="D114" s="173">
        <f t="shared" si="25"/>
        <v>20.5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212</v>
      </c>
      <c r="CI122" s="173">
        <f>IF(CI76=0,0,VALUE(CONCATENATE(Travail!CI27,Travail!CI38,Travail!CI49)))</f>
        <v>212</v>
      </c>
      <c r="CJ122" s="173">
        <f>IF(CJ76=0,0,VALUE(CONCATENATE(Travail!CJ27,Travail!CJ38,Travail!CJ49)))</f>
        <v>212</v>
      </c>
      <c r="CK122" s="173">
        <f>IF(CK76=0,0,VALUE(CONCATENATE(Travail!CK27,Travail!CK38,Travail!CK49)))</f>
        <v>212</v>
      </c>
      <c r="CL122" s="173">
        <f>IF(CL76=0,0,VALUE(CONCATENATE(Travail!CL27,Travail!CL38,Travail!CL49)))</f>
        <v>212</v>
      </c>
      <c r="CM122" s="173">
        <f>IF(CM76=0,0,VALUE(CONCATENATE(Travail!CM27,Travail!CM38,Travail!CM49)))</f>
        <v>212</v>
      </c>
      <c r="CN122" s="173">
        <f>IF(CN76=0,0,VALUE(CONCATENATE(Travail!CN27,Travail!CN38,Travail!CN49)))</f>
        <v>212</v>
      </c>
      <c r="CO122" s="173">
        <f>IF(CO76=0,0,VALUE(CONCATENATE(Travail!CO27,Travail!CO38,Travail!CO49)))</f>
        <v>212</v>
      </c>
      <c r="CP122" s="173">
        <f>IF(CP76=0,0,VALUE(CONCATENATE(Travail!CP27,Travail!CP38,Travail!CP49)))</f>
        <v>212</v>
      </c>
      <c r="CQ122" s="173">
        <f>IF(CQ76=0,0,VALUE(CONCATENATE(Travail!CQ27,Travail!CQ38,Travail!CQ49)))</f>
        <v>212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0.14583333333333334</v>
      </c>
      <c r="D134" s="262">
        <f t="shared" si="25"/>
        <v>0.14583333333333334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0.5393258426966292</v>
      </c>
      <c r="D136" s="262">
        <f t="shared" si="25"/>
        <v>0.5393258426966292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284.07458770614693</v>
      </c>
      <c r="BH151" s="173">
        <f t="shared" si="74"/>
        <v>284.07458770614693</v>
      </c>
      <c r="BI151" s="173">
        <f t="shared" si="74"/>
        <v>284.07458770614693</v>
      </c>
      <c r="BJ151" s="173">
        <f t="shared" si="74"/>
        <v>284.07458770614693</v>
      </c>
      <c r="BK151" s="173">
        <f t="shared" si="74"/>
        <v>284.07458770614693</v>
      </c>
      <c r="BL151" s="173">
        <f t="shared" si="74"/>
        <v>284.07458770614693</v>
      </c>
      <c r="BM151" s="173">
        <f t="shared" si="74"/>
        <v>284.07458770614693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360.61281859070465</v>
      </c>
      <c r="BH160" s="62">
        <f t="shared" si="83"/>
        <v>360.61281859070465</v>
      </c>
      <c r="BI160" s="62">
        <f t="shared" si="83"/>
        <v>360.61281859070465</v>
      </c>
      <c r="BJ160" s="62">
        <f t="shared" si="83"/>
        <v>360.61281859070465</v>
      </c>
      <c r="BK160" s="62">
        <f t="shared" si="83"/>
        <v>360.61281859070465</v>
      </c>
      <c r="BL160" s="62">
        <f t="shared" si="83"/>
        <v>360.61281859070465</v>
      </c>
      <c r="BM160" s="62">
        <f t="shared" si="83"/>
        <v>360.61281859070465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104.69724347478264</v>
      </c>
      <c r="D161" s="263">
        <f t="shared" si="50"/>
        <v>99.28186881229388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7.2122563718140933</v>
      </c>
      <c r="BH161" s="173">
        <f t="shared" si="86"/>
        <v>7.2122563718140933</v>
      </c>
      <c r="BI161" s="173">
        <f t="shared" si="86"/>
        <v>7.2122563718140933</v>
      </c>
      <c r="BJ161" s="173">
        <f t="shared" si="86"/>
        <v>7.2122563718140933</v>
      </c>
      <c r="BK161" s="173">
        <f t="shared" si="86"/>
        <v>7.2122563718140933</v>
      </c>
      <c r="BL161" s="173">
        <f t="shared" si="86"/>
        <v>7.2122563718140933</v>
      </c>
      <c r="BM161" s="173">
        <f t="shared" si="86"/>
        <v>7.2122563718140933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149.25887342921743</v>
      </c>
      <c r="D162" s="263">
        <f t="shared" si="50"/>
        <v>141.53858687253376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6.2122563718140933</v>
      </c>
      <c r="BH162" s="173">
        <f t="shared" si="89"/>
        <v>6.2122563718140933</v>
      </c>
      <c r="BI162" s="173">
        <f t="shared" si="89"/>
        <v>6.2122563718140933</v>
      </c>
      <c r="BJ162" s="173">
        <f t="shared" si="89"/>
        <v>6.2122563718140933</v>
      </c>
      <c r="BK162" s="173">
        <f t="shared" si="89"/>
        <v>6.2122563718140933</v>
      </c>
      <c r="BL162" s="173">
        <f t="shared" si="89"/>
        <v>6.2122563718140933</v>
      </c>
      <c r="BM162" s="173">
        <f t="shared" si="89"/>
        <v>6.2122563718140933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31.871448650674665</v>
      </c>
      <c r="BH163" s="62">
        <f t="shared" si="92"/>
        <v>31.871448650674665</v>
      </c>
      <c r="BI163" s="62">
        <f t="shared" si="92"/>
        <v>31.871448650674665</v>
      </c>
      <c r="BJ163" s="62">
        <f t="shared" si="92"/>
        <v>31.871448650674665</v>
      </c>
      <c r="BK163" s="62">
        <f t="shared" si="92"/>
        <v>31.871448650674665</v>
      </c>
      <c r="BL163" s="62">
        <f t="shared" si="92"/>
        <v>31.871448650674665</v>
      </c>
      <c r="BM163" s="62">
        <f t="shared" si="92"/>
        <v>31.871448650674665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14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28</v>
      </c>
      <c r="CI168" s="190">
        <f>IF(CI122&gt;0,HLOOKUP(CI122,[1]Trav!$C$11:$O$31,$AU$166),0)</f>
        <v>28</v>
      </c>
      <c r="CJ168" s="190">
        <f>IF(CJ122&gt;0,HLOOKUP(CJ122,[1]Trav!$C$11:$O$31,$AU$166),0)</f>
        <v>28</v>
      </c>
      <c r="CK168" s="190">
        <f>IF(CK122&gt;0,HLOOKUP(CK122,[1]Trav!$C$11:$O$31,$AU$166),0)</f>
        <v>28</v>
      </c>
      <c r="CL168" s="190">
        <f>IF(CL122&gt;0,HLOOKUP(CL122,[1]Trav!$C$11:$O$31,$AU$166),0)</f>
        <v>28</v>
      </c>
      <c r="CM168" s="190">
        <f>IF(CM122&gt;0,HLOOKUP(CM122,[1]Trav!$C$11:$O$31,$AU$166),0)</f>
        <v>28</v>
      </c>
      <c r="CN168" s="190">
        <f>IF(CN122&gt;0,HLOOKUP(CN122,[1]Trav!$C$11:$O$31,$AU$166),0)</f>
        <v>28</v>
      </c>
      <c r="CO168" s="190">
        <f>IF(CO122&gt;0,HLOOKUP(CO122,[1]Trav!$C$11:$O$31,$AU$166),0)</f>
        <v>28</v>
      </c>
      <c r="CP168" s="190">
        <f>IF(CP122&gt;0,HLOOKUP(CP122,[1]Trav!$C$11:$O$31,$AU$166),0)</f>
        <v>28</v>
      </c>
      <c r="CQ168" s="190">
        <f>IF(CQ122&gt;0,HLOOKUP(CQ122,[1]Trav!$C$11:$O$31,$AU$166),0)</f>
        <v>28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159.7852</v>
      </c>
      <c r="D169" s="263">
        <f t="shared" si="50"/>
        <v>151.52044827586207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148.72773011478262</v>
      </c>
      <c r="D170" s="263">
        <f t="shared" si="50"/>
        <v>141.03491648815594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81.035160000000005</v>
      </c>
      <c r="D171" s="263">
        <f t="shared" si="50"/>
        <v>76.84368620689655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177.4</v>
      </c>
      <c r="D172" s="263">
        <f t="shared" si="50"/>
        <v>168.22413793103448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11.057469885217387</v>
      </c>
      <c r="D173" s="263">
        <f t="shared" si="50"/>
        <v>10.485531787706142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93.1</v>
      </c>
      <c r="D174" s="263">
        <f t="shared" si="50"/>
        <v>88.284482758620683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-96.364840000000001</v>
      </c>
      <c r="D175" s="263">
        <f>C175*$D$82/$C$82</f>
        <v>-91.380451724137927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96.364840000000001</v>
      </c>
      <c r="D176" s="263">
        <f>C176*$D$82/$C$82</f>
        <v>91.380451724137927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70</v>
      </c>
      <c r="D178" s="173">
        <f>ROUND((D170+D171)/(D170+D172),2)*100</f>
        <v>70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49</v>
      </c>
      <c r="CI178" s="173">
        <f t="shared" si="99"/>
        <v>56</v>
      </c>
      <c r="CJ178" s="173">
        <f t="shared" si="99"/>
        <v>56</v>
      </c>
      <c r="CK178" s="173">
        <f t="shared" si="99"/>
        <v>56</v>
      </c>
      <c r="CL178" s="173">
        <f t="shared" si="99"/>
        <v>35</v>
      </c>
      <c r="CM178" s="173">
        <f t="shared" si="99"/>
        <v>35</v>
      </c>
      <c r="CN178" s="173">
        <f t="shared" si="99"/>
        <v>35</v>
      </c>
      <c r="CO178" s="173">
        <f t="shared" si="99"/>
        <v>35</v>
      </c>
      <c r="CP178" s="173">
        <f t="shared" si="99"/>
        <v>35</v>
      </c>
      <c r="CQ178" s="173">
        <f t="shared" si="99"/>
        <v>35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49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5294</v>
      </c>
      <c r="D183" s="264">
        <f>ROUND(D184*D185,0)</f>
        <v>5014</v>
      </c>
      <c r="E183" s="17" t="s">
        <v>1295</v>
      </c>
    </row>
    <row r="184" spans="1:132" x14ac:dyDescent="0.25">
      <c r="B184" s="14" t="s">
        <v>1296</v>
      </c>
      <c r="C184" s="173">
        <f>Protection!AK26</f>
        <v>22.5</v>
      </c>
      <c r="D184" s="265">
        <f>C184*D82/C82</f>
        <v>21.336206896551722</v>
      </c>
    </row>
    <row r="185" spans="1:132" x14ac:dyDescent="0.25">
      <c r="B185" s="14" t="s">
        <v>1297</v>
      </c>
      <c r="C185" s="173">
        <f>IF(C183=0,0,ROUND(C183/C184,0))</f>
        <v>235</v>
      </c>
      <c r="D185" s="173">
        <f>C185</f>
        <v>235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0.73750000000000004</v>
      </c>
      <c r="D192" s="266">
        <f>ROUND((D183/1000)*([1]Protect!$B$25*8/10+[1]Protect!$B$26),2)/8</f>
        <v>0.70874999999999999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12.75</v>
      </c>
      <c r="D193" s="173">
        <f>C193</f>
        <v>12.75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6639</v>
      </c>
      <c r="D206" s="261">
        <f>ROUND(C206*D$82/C$82,0)</f>
        <v>6296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4585</v>
      </c>
      <c r="D208" s="261">
        <f>ROUND(C208*D$82/C$82,0)</f>
        <v>4348</v>
      </c>
      <c r="S208" s="14" t="s">
        <v>978</v>
      </c>
      <c r="T208" s="30">
        <f>L212</f>
        <v>64.900137931034479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14958</v>
      </c>
      <c r="D209" s="264">
        <f>IF(Scénario!K9=0,0,ROUND(Z210,0))</f>
        <v>14711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14.900137931034479</v>
      </c>
      <c r="Y209" s="190">
        <f>[1]Eco!$B$34</f>
        <v>70</v>
      </c>
      <c r="Z209" s="173">
        <f t="shared" si="105"/>
        <v>1043.0096551724134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28.524137931034481</v>
      </c>
      <c r="Y210" s="40" t="s">
        <v>949</v>
      </c>
      <c r="Z210" s="62">
        <f>SUM(Z207:Z209)*IF(Scénario!K2="Exploit. Ind.",1,Scénario!K3)</f>
        <v>14710.509655172413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43785.1</v>
      </c>
      <c r="D211" s="264">
        <f>ROUND(SUM(D201:D210),0)</f>
        <v>43052</v>
      </c>
      <c r="E211" s="17" t="s">
        <v>1331</v>
      </c>
      <c r="K211" s="40" t="s">
        <v>995</v>
      </c>
      <c r="L211" s="62">
        <f>L209+L210</f>
        <v>64.900137931034479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64.900137931034479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75.209999999999994</v>
      </c>
      <c r="AK216" s="173"/>
      <c r="AL216" s="173"/>
      <c r="AM216" s="173">
        <f>'Calcul éco'!W272</f>
        <v>6</v>
      </c>
      <c r="AN216" s="173">
        <f>AJ216*AM216</f>
        <v>451.26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3203.16</v>
      </c>
      <c r="D217" s="261">
        <f t="shared" si="106"/>
        <v>3037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26700.55932</v>
      </c>
      <c r="D218" s="261">
        <f t="shared" si="106"/>
        <v>25319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3430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476.46</v>
      </c>
      <c r="D220" s="264">
        <f>SUM(AN215:AN219)</f>
        <v>451.26</v>
      </c>
      <c r="E220" s="17" t="s">
        <v>1345</v>
      </c>
      <c r="H220" s="14" t="s">
        <v>1000</v>
      </c>
      <c r="I220" s="30">
        <f>SUM(I216:I219)</f>
        <v>64</v>
      </c>
      <c r="J220" s="30">
        <f>SUM(J216:J219)</f>
        <v>60.689655172413794</v>
      </c>
    </row>
    <row r="221" spans="1:43" x14ac:dyDescent="0.25">
      <c r="B221" s="14" t="s">
        <v>1346</v>
      </c>
      <c r="C221" s="173">
        <f>ROUND(SUM(C216:C220),0)</f>
        <v>74220</v>
      </c>
      <c r="D221" s="264">
        <f>ROUND(SUM(D216:D220),0)</f>
        <v>70380</v>
      </c>
      <c r="E221" s="17" t="s">
        <v>1345</v>
      </c>
      <c r="H221" s="14" t="s">
        <v>1001</v>
      </c>
      <c r="I221" s="30">
        <f>I220*[1]Eco!$B$25</f>
        <v>30.08</v>
      </c>
      <c r="J221" s="30">
        <f>J220*[1]Eco!$B$25</f>
        <v>28.524137931034481</v>
      </c>
    </row>
    <row r="222" spans="1:43" x14ac:dyDescent="0.25">
      <c r="A222" s="2" t="s">
        <v>1067</v>
      </c>
      <c r="B222" s="14" t="s">
        <v>1347</v>
      </c>
      <c r="C222" s="173">
        <f>'Calcul éco'!J149</f>
        <v>2949.65</v>
      </c>
      <c r="D222" s="261">
        <f>ROUND(C222*D$82/C$82,0)</f>
        <v>2797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5014</v>
      </c>
      <c r="AL225" t="s">
        <v>1101</v>
      </c>
      <c r="AM225" s="173"/>
      <c r="AN225" s="173">
        <f>[1]Protect!$B$4</f>
        <v>6</v>
      </c>
      <c r="AO225" s="173">
        <f>AK225*AN225</f>
        <v>30084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13217.16</v>
      </c>
      <c r="D227" s="261">
        <f t="shared" ref="D227:D233" si="109">ROUND(C227*D$82/C$82,0)</f>
        <v>12534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30084</v>
      </c>
      <c r="AQ228" s="30">
        <f>IF(Scénario!K84=1,MIN(0.8*AO228,[1]Protect!$B$68),IF(Scénario!K84=2,MIN(0.8*AO228,[1]Protect!$B$67),0))</f>
        <v>24067.200000000001</v>
      </c>
      <c r="AR228" s="30">
        <f>AO228-AQ228</f>
        <v>6016.7999999999993</v>
      </c>
      <c r="AS228" s="30">
        <f>(1-Scénario!K127/100)*AR228</f>
        <v>6016.7999999999993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-524.90000000000009</v>
      </c>
      <c r="D230" s="261">
        <f t="shared" si="109"/>
        <v>-498</v>
      </c>
    </row>
    <row r="231" spans="1:49" x14ac:dyDescent="0.25">
      <c r="B231" s="14" t="s">
        <v>1083</v>
      </c>
      <c r="C231" s="173">
        <f>'Calcul éco'!J159</f>
        <v>-90</v>
      </c>
      <c r="D231" s="261">
        <f t="shared" si="109"/>
        <v>-85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3326.127</v>
      </c>
      <c r="D235" s="264">
        <f>(D191+D192)*8*[1]Eco!$B$106</f>
        <v>2237.2961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37992</v>
      </c>
      <c r="D236" s="264">
        <f>ROUND(SUM(D222:D235),0)</f>
        <v>35428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5812.1000000000058</v>
      </c>
      <c r="D237" s="264">
        <f>D194+D211-D221-D236</f>
        <v>7643</v>
      </c>
    </row>
    <row r="238" spans="1:49" x14ac:dyDescent="0.25">
      <c r="B238" s="211" t="s">
        <v>1090</v>
      </c>
      <c r="C238" s="173">
        <f>ROUND(C237/Scénario!$K$4,0)</f>
        <v>3875</v>
      </c>
      <c r="D238" s="264">
        <f>ROUND(D237/D83,0)</f>
        <v>3822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783.24271114049111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-7971</v>
      </c>
      <c r="D241" s="268">
        <f>ROUND(D237-D239-D240,0)</f>
        <v>-5357</v>
      </c>
    </row>
    <row r="242" spans="1:15" x14ac:dyDescent="0.25">
      <c r="B242" s="211" t="s">
        <v>1094</v>
      </c>
      <c r="C242" s="173">
        <f>ROUND(C241/Scénario!K4,0)</f>
        <v>-5314</v>
      </c>
      <c r="D242" s="264">
        <f>ROUND(D241/D83,0)</f>
        <v>-2679</v>
      </c>
    </row>
    <row r="243" spans="1:15" x14ac:dyDescent="0.25">
      <c r="B243" s="211" t="s">
        <v>1357</v>
      </c>
      <c r="C243" s="173">
        <f>'Calcul éco'!X237+'Calcul éco'!X240</f>
        <v>31764</v>
      </c>
      <c r="D243" s="173">
        <f>C243</f>
        <v>31764</v>
      </c>
    </row>
    <row r="244" spans="1:15" x14ac:dyDescent="0.25">
      <c r="B244" s="211" t="s">
        <v>1358</v>
      </c>
      <c r="C244" s="173">
        <f>'Calcul éco'!AA237+'Calcul éco'!AA240</f>
        <v>6352.7999999999993</v>
      </c>
      <c r="D244" s="173">
        <f>C244</f>
        <v>6352.7999999999993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183.75</v>
      </c>
      <c r="D246" s="173">
        <f t="shared" ref="D246:D247" si="112">C246</f>
        <v>183.75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1092.4957826086957</v>
      </c>
      <c r="D248" s="264">
        <f>ROUND(SUM(AV163:BS163),1)</f>
        <v>1075.0999999999999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14.698</v>
      </c>
      <c r="L258" s="190">
        <f>IF(K258&gt;[1]Trav!E121,[1]Trav!C121,[1]Trav!B121)</f>
        <v>7.2</v>
      </c>
      <c r="N258" s="274"/>
      <c r="O258">
        <f t="shared" si="114"/>
        <v>105.82560000000001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10.430999999999999</v>
      </c>
      <c r="L259" s="190">
        <f>IF(K259&gt;[1]Trav!E121,[1]Trav!C121,[1]Trav!B121)</f>
        <v>7.2</v>
      </c>
      <c r="N259" s="274"/>
      <c r="O259">
        <f t="shared" si="114"/>
        <v>75.103200000000001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45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112</v>
      </c>
      <c r="D267" s="264">
        <f t="shared" si="116"/>
        <v>106</v>
      </c>
    </row>
    <row r="268" spans="1:15" x14ac:dyDescent="0.25">
      <c r="B268" s="32" t="s">
        <v>791</v>
      </c>
      <c r="C268" s="270">
        <f>Travail!F56</f>
        <v>79</v>
      </c>
      <c r="D268" s="264">
        <f t="shared" si="116"/>
        <v>75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5.9</v>
      </c>
      <c r="D276" s="264">
        <f>D192*8</f>
        <v>5.67</v>
      </c>
    </row>
    <row r="277" spans="1:4" x14ac:dyDescent="0.25">
      <c r="B277" s="32" t="s">
        <v>1418</v>
      </c>
      <c r="C277" s="270">
        <f>Travail!F75+Travail!F81</f>
        <v>102</v>
      </c>
      <c r="D277" s="173">
        <f>C277</f>
        <v>102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3262</v>
      </c>
      <c r="D281" s="264">
        <f>ROUND(D245+D248+D251+D254+D257+D260+D261,0)</f>
        <v>3173</v>
      </c>
    </row>
    <row r="282" spans="1:4" x14ac:dyDescent="0.25">
      <c r="B282" s="14" t="s">
        <v>1372</v>
      </c>
      <c r="C282" s="173">
        <f>ROUND(C246+C249+C252+C255+C258,0)</f>
        <v>886</v>
      </c>
      <c r="D282" s="264">
        <f>ROUND(D246+D249+D252+D255+D258,0)</f>
        <v>881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9.14</v>
      </c>
      <c r="D284" s="173">
        <f>ROUND(D281/(Troupeau!$B$17*G63),2)</f>
        <v>9.3699999999999992</v>
      </c>
    </row>
    <row r="285" spans="1:4" x14ac:dyDescent="0.25">
      <c r="B285" s="14" t="s">
        <v>1375</v>
      </c>
      <c r="C285" s="173">
        <f>IF(Troupeau!$C$17=0,0,ROUND(C282/Troupeau!$C$17,2))</f>
        <v>42.19</v>
      </c>
      <c r="D285" s="173">
        <f>IF(Troupeau!$C$17=0,0,ROUND(D282/Troupeau!$C$17*G63,2))</f>
        <v>39.78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4148</v>
      </c>
      <c r="D287" s="264">
        <f>SUM(D281:D283)</f>
        <v>4054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287</v>
      </c>
      <c r="D289" s="264">
        <f>SUM(D262:D271)</f>
        <v>279</v>
      </c>
    </row>
    <row r="290" spans="2:4" x14ac:dyDescent="0.25">
      <c r="B290" s="14" t="s">
        <v>1420</v>
      </c>
      <c r="C290" s="270">
        <f>C275+C276+C277</f>
        <v>312.70000000000005</v>
      </c>
      <c r="D290" s="277">
        <f>D275+D276+D277</f>
        <v>312.47000000000003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5348</v>
      </c>
      <c r="D292" s="264">
        <f>ROUND(SUM(D287:D291),0)</f>
        <v>5245</v>
      </c>
    </row>
    <row r="293" spans="2:4" x14ac:dyDescent="0.25">
      <c r="B293" s="14" t="s">
        <v>874</v>
      </c>
      <c r="C293" s="173">
        <f>ROUND(IF(Scénario!$K$129=1,SUM(C275:C280),SUM(C278:C280)),0)</f>
        <v>313</v>
      </c>
      <c r="D293" s="173">
        <f>ROUND(IF(Scénario!$K$129=1,SUM(D275:D280),SUM(D278:D280)),0)</f>
        <v>312</v>
      </c>
    </row>
    <row r="294" spans="2:4" x14ac:dyDescent="0.25">
      <c r="B294" s="14" t="s">
        <v>875</v>
      </c>
      <c r="C294" s="173">
        <f>ROUND((C292-C293)/C83,0)</f>
        <v>3357</v>
      </c>
      <c r="D294" s="173">
        <f>ROUND((D292-D293)/D83,0)</f>
        <v>2467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104.69724347478262</v>
      </c>
    </row>
    <row r="299" spans="2:4" x14ac:dyDescent="0.25">
      <c r="B299" s="14" t="s">
        <v>1453</v>
      </c>
      <c r="C299" s="173">
        <f>IF(Troupeau!$B$3="OL",CdTrp1!AA221,0)</f>
        <v>0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44.030486639999992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22.5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31764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73" activePane="bottomLeft" state="frozen"/>
      <selection pane="bottomLeft" activeCell="M131" sqref="M131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58.44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314.54804347826092</v>
      </c>
      <c r="N63" s="61">
        <f t="shared" si="18"/>
        <v>325.03297826086958</v>
      </c>
      <c r="O63" s="61">
        <f t="shared" si="18"/>
        <v>325.03297826086958</v>
      </c>
      <c r="P63" s="61">
        <f t="shared" si="18"/>
        <v>325.03297826086958</v>
      </c>
      <c r="Q63" s="61">
        <f t="shared" si="18"/>
        <v>325.03297826086958</v>
      </c>
      <c r="R63" s="61">
        <f t="shared" si="18"/>
        <v>314.54804347826092</v>
      </c>
      <c r="S63" s="61">
        <f t="shared" si="18"/>
        <v>314.54804347826092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357</v>
      </c>
      <c r="N73" s="64">
        <f t="shared" si="28"/>
        <v>369</v>
      </c>
      <c r="O73" s="64">
        <f t="shared" si="28"/>
        <v>369</v>
      </c>
      <c r="P73" s="64">
        <f t="shared" si="28"/>
        <v>369</v>
      </c>
      <c r="Q73" s="64">
        <f t="shared" si="28"/>
        <v>369</v>
      </c>
      <c r="R73" s="64">
        <f t="shared" si="28"/>
        <v>357</v>
      </c>
      <c r="S73" s="64">
        <f t="shared" si="28"/>
        <v>357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11688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0.5</v>
      </c>
      <c r="H123" s="156">
        <v>0.5</v>
      </c>
      <c r="I123" s="156">
        <v>0.5</v>
      </c>
      <c r="J123" s="156">
        <v>0.6</v>
      </c>
      <c r="K123" s="156">
        <v>0.8</v>
      </c>
      <c r="L123" s="156">
        <v>0.9</v>
      </c>
      <c r="M123" s="156">
        <v>0.9</v>
      </c>
      <c r="N123" s="156">
        <v>0.9</v>
      </c>
      <c r="O123" s="156">
        <v>0.9</v>
      </c>
      <c r="P123" s="156">
        <v>0.9</v>
      </c>
      <c r="Q123" s="156">
        <v>0.9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5.2622839180434795</v>
      </c>
      <c r="H136" s="61">
        <f t="shared" si="51"/>
        <v>5.0661466434782616</v>
      </c>
      <c r="I136" s="61">
        <f t="shared" si="51"/>
        <v>5.0397604630434802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0.63349975956521742</v>
      </c>
      <c r="M136" s="61">
        <f t="shared" si="51"/>
        <v>0.63349975956521742</v>
      </c>
      <c r="N136" s="61">
        <f t="shared" si="51"/>
        <v>0.65461641821739125</v>
      </c>
      <c r="O136" s="61">
        <f t="shared" si="51"/>
        <v>0.65461641821739125</v>
      </c>
      <c r="P136" s="61">
        <f t="shared" si="51"/>
        <v>0.65461641821739125</v>
      </c>
      <c r="Q136" s="61">
        <f t="shared" si="51"/>
        <v>0.65461641821739125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126.08107782260871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0.41131366956521737</v>
      </c>
      <c r="E138" s="61">
        <f t="shared" si="52"/>
        <v>0.41131366956521737</v>
      </c>
      <c r="F138" s="61">
        <f t="shared" si="52"/>
        <v>0.45538299130434778</v>
      </c>
      <c r="G138" s="61">
        <f t="shared" si="52"/>
        <v>0.45538299130434778</v>
      </c>
      <c r="H138" s="61">
        <f t="shared" si="52"/>
        <v>0.44069321739130435</v>
      </c>
      <c r="I138" s="61">
        <f t="shared" si="52"/>
        <v>0.44069321739130435</v>
      </c>
      <c r="J138" s="61">
        <f t="shared" si="52"/>
        <v>1.1384574782608696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6.0154624173913049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135.6898849356522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149.25887342921743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5.2622839180434795</v>
      </c>
      <c r="H149" s="61">
        <f t="shared" si="55"/>
        <v>5.0661466434782616</v>
      </c>
      <c r="I149" s="61">
        <f t="shared" si="55"/>
        <v>5.0397604630434802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5.7014978360869577</v>
      </c>
      <c r="M149" s="61">
        <f t="shared" si="55"/>
        <v>5.7014978360869577</v>
      </c>
      <c r="N149" s="61">
        <f t="shared" si="55"/>
        <v>5.891547763956523</v>
      </c>
      <c r="O149" s="61">
        <f t="shared" si="55"/>
        <v>5.891547763956523</v>
      </c>
      <c r="P149" s="61">
        <f t="shared" si="55"/>
        <v>5.891547763956523</v>
      </c>
      <c r="Q149" s="61">
        <f t="shared" si="55"/>
        <v>5.891547763956523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1.1384574782608696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104.69724347478264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5.2622839180434795</v>
      </c>
      <c r="H162" s="61">
        <f t="shared" si="65"/>
        <v>5.0661466434782616</v>
      </c>
      <c r="I162" s="61">
        <f t="shared" si="65"/>
        <v>5.0397604630434802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5.7014978360869577</v>
      </c>
      <c r="M162" s="61">
        <f t="shared" si="65"/>
        <v>5.7014978360869577</v>
      </c>
      <c r="N162" s="61">
        <f t="shared" si="65"/>
        <v>5.891547763956523</v>
      </c>
      <c r="O162" s="61">
        <f t="shared" si="65"/>
        <v>5.891547763956523</v>
      </c>
      <c r="P162" s="61">
        <f t="shared" si="65"/>
        <v>5.891547763956523</v>
      </c>
      <c r="Q162" s="61">
        <f t="shared" si="65"/>
        <v>5.891547763956523</v>
      </c>
      <c r="R162" s="61">
        <f t="shared" si="65"/>
        <v>6.3349975956521751</v>
      </c>
      <c r="S162" s="61">
        <f t="shared" si="65"/>
        <v>6.3349975956521751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0.83194969565217392</v>
      </c>
      <c r="C163" s="61">
        <f t="shared" si="66"/>
        <v>0.83194969565217392</v>
      </c>
      <c r="D163" s="61">
        <f t="shared" si="66"/>
        <v>0.75143843478260874</v>
      </c>
      <c r="E163" s="61">
        <f t="shared" si="66"/>
        <v>0.75143843478260874</v>
      </c>
      <c r="F163" s="61">
        <f t="shared" si="66"/>
        <v>0.83194969565217392</v>
      </c>
      <c r="G163" s="61">
        <f t="shared" si="66"/>
        <v>0.83194969565217392</v>
      </c>
      <c r="H163" s="61">
        <f t="shared" si="66"/>
        <v>0.80511260869565215</v>
      </c>
      <c r="I163" s="61">
        <f t="shared" si="66"/>
        <v>0.80511260869565215</v>
      </c>
      <c r="J163" s="61">
        <f t="shared" si="66"/>
        <v>0.83194969565217392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0.83194969565217392</v>
      </c>
      <c r="V163" s="61">
        <f t="shared" si="66"/>
        <v>0.80511260869565215</v>
      </c>
      <c r="W163" s="61">
        <f t="shared" si="66"/>
        <v>0.80511260869565215</v>
      </c>
      <c r="X163" s="61">
        <f t="shared" si="66"/>
        <v>0.83194969565217392</v>
      </c>
      <c r="Y163" s="61">
        <f t="shared" si="66"/>
        <v>0.83194969565217392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1.1384574782608696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0.83194969565217392</v>
      </c>
      <c r="C172" s="61">
        <f t="shared" ref="C172:Y172" si="75">SUM(C162:C171)</f>
        <v>0.83194969565217392</v>
      </c>
      <c r="D172" s="61">
        <f t="shared" si="75"/>
        <v>0.75143843478260874</v>
      </c>
      <c r="E172" s="61">
        <f t="shared" si="75"/>
        <v>0.75143843478260874</v>
      </c>
      <c r="F172" s="61">
        <f t="shared" si="75"/>
        <v>0.83194969565217392</v>
      </c>
      <c r="G172" s="61">
        <f t="shared" si="75"/>
        <v>6.0942336136956534</v>
      </c>
      <c r="H172" s="61">
        <f t="shared" si="75"/>
        <v>5.871259252173914</v>
      </c>
      <c r="I172" s="61">
        <f t="shared" si="75"/>
        <v>5.8448730717391326</v>
      </c>
      <c r="J172" s="61">
        <f t="shared" si="75"/>
        <v>7.0158149423478262</v>
      </c>
      <c r="K172" s="61">
        <f t="shared" si="75"/>
        <v>6.3753888240000016</v>
      </c>
      <c r="L172" s="61">
        <f t="shared" si="75"/>
        <v>6.8032308795652181</v>
      </c>
      <c r="M172" s="61">
        <f t="shared" si="75"/>
        <v>6.8032308795652181</v>
      </c>
      <c r="N172" s="61">
        <f t="shared" si="75"/>
        <v>7.0300052422173929</v>
      </c>
      <c r="O172" s="61">
        <f t="shared" si="75"/>
        <v>7.0300052422173929</v>
      </c>
      <c r="P172" s="61">
        <f t="shared" si="75"/>
        <v>7.0300052422173929</v>
      </c>
      <c r="Q172" s="61">
        <f t="shared" si="75"/>
        <v>7.0300052422173929</v>
      </c>
      <c r="R172" s="61">
        <f t="shared" si="75"/>
        <v>7.4367306391304364</v>
      </c>
      <c r="S172" s="61">
        <f t="shared" si="75"/>
        <v>7.4367306391304364</v>
      </c>
      <c r="T172" s="61">
        <f t="shared" si="75"/>
        <v>3.7094683363043481</v>
      </c>
      <c r="U172" s="61">
        <f t="shared" si="75"/>
        <v>5.9134108630434792</v>
      </c>
      <c r="V172" s="61">
        <f t="shared" si="75"/>
        <v>0.80511260869565215</v>
      </c>
      <c r="W172" s="61">
        <f t="shared" si="75"/>
        <v>0.80511260869565215</v>
      </c>
      <c r="X172" s="61">
        <f t="shared" si="75"/>
        <v>0.83194969565217392</v>
      </c>
      <c r="Y172" s="61">
        <f t="shared" si="75"/>
        <v>0.83194969565217392</v>
      </c>
      <c r="AA172" s="64">
        <f>SUM(B172:Y172)</f>
        <v>104.69724347478262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0.83194969565217392</v>
      </c>
      <c r="C215" s="61">
        <f t="shared" ref="C215:Y215" si="108">C172</f>
        <v>0.83194969565217392</v>
      </c>
      <c r="D215" s="61">
        <f t="shared" si="108"/>
        <v>0.75143843478260874</v>
      </c>
      <c r="E215" s="61">
        <f t="shared" si="108"/>
        <v>0.75143843478260874</v>
      </c>
      <c r="F215" s="61">
        <f t="shared" si="108"/>
        <v>0.83194969565217392</v>
      </c>
      <c r="G215" s="61">
        <f t="shared" si="108"/>
        <v>6.0942336136956534</v>
      </c>
      <c r="H215" s="61">
        <f t="shared" si="108"/>
        <v>5.871259252173914</v>
      </c>
      <c r="I215" s="61">
        <f t="shared" si="108"/>
        <v>5.8448730717391326</v>
      </c>
      <c r="J215" s="61">
        <f t="shared" si="108"/>
        <v>7.0158149423478262</v>
      </c>
      <c r="K215" s="61">
        <f t="shared" si="108"/>
        <v>6.3753888240000016</v>
      </c>
      <c r="L215" s="61">
        <f t="shared" si="108"/>
        <v>6.8032308795652181</v>
      </c>
      <c r="M215" s="61">
        <f t="shared" si="108"/>
        <v>6.8032308795652181</v>
      </c>
      <c r="N215" s="61">
        <f t="shared" si="108"/>
        <v>7.0300052422173929</v>
      </c>
      <c r="O215" s="61">
        <f t="shared" si="108"/>
        <v>7.0300052422173929</v>
      </c>
      <c r="P215" s="61">
        <f t="shared" si="108"/>
        <v>7.0300052422173929</v>
      </c>
      <c r="Q215" s="61">
        <f t="shared" si="108"/>
        <v>7.0300052422173929</v>
      </c>
      <c r="R215" s="61">
        <f t="shared" si="108"/>
        <v>7.4367306391304364</v>
      </c>
      <c r="S215" s="61">
        <f t="shared" si="108"/>
        <v>7.4367306391304364</v>
      </c>
      <c r="T215" s="61">
        <f t="shared" si="108"/>
        <v>3.7094683363043481</v>
      </c>
      <c r="U215" s="61">
        <f t="shared" si="108"/>
        <v>5.9134108630434792</v>
      </c>
      <c r="V215" s="61">
        <f t="shared" si="108"/>
        <v>0.80511260869565215</v>
      </c>
      <c r="W215" s="61">
        <f t="shared" si="108"/>
        <v>0.80511260869565215</v>
      </c>
      <c r="X215" s="61">
        <f t="shared" si="108"/>
        <v>0.83194969565217392</v>
      </c>
      <c r="Y215" s="61">
        <f t="shared" si="108"/>
        <v>0.83194969565217392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104.69724347478262</v>
      </c>
      <c r="AB219" t="s">
        <v>222</v>
      </c>
    </row>
    <row r="220" spans="1:28" x14ac:dyDescent="0.25">
      <c r="AA220" s="30">
        <f>SUM(B215:Y217)</f>
        <v>104.69724347478262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2" activePane="bottomLeft" state="frozen"/>
      <selection pane="bottomLeft" activeCell="O81" sqref="O8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2</v>
      </c>
      <c r="U76" s="60">
        <v>2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2</v>
      </c>
      <c r="N77" s="60">
        <v>2</v>
      </c>
      <c r="O77" s="60">
        <v>2</v>
      </c>
      <c r="P77" s="60">
        <v>2</v>
      </c>
      <c r="Q77" s="60">
        <v>2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2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3.5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20.5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2.5983279000000001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0.1481025</v>
      </c>
      <c r="U172" s="61">
        <f t="shared" si="57"/>
        <v>0.1481025</v>
      </c>
      <c r="V172" s="61">
        <f t="shared" si="57"/>
        <v>5.7329999999999999E-2</v>
      </c>
      <c r="W172" s="61">
        <f t="shared" si="57"/>
        <v>2.8665E-2</v>
      </c>
      <c r="X172" s="61">
        <f t="shared" si="57"/>
        <v>0</v>
      </c>
      <c r="Y172" s="61">
        <f t="shared" si="57"/>
        <v>0</v>
      </c>
      <c r="AA172" s="64">
        <f>SUM(B172:Y172)</f>
        <v>3.3245079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1.4338144800000001</v>
      </c>
      <c r="U175" s="61">
        <f t="shared" si="58"/>
        <v>1.47318696</v>
      </c>
      <c r="V175" s="61">
        <f t="shared" si="58"/>
        <v>1.5450875999999998</v>
      </c>
      <c r="W175" s="61">
        <f t="shared" si="58"/>
        <v>1.5752519999999999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0.11466</v>
      </c>
      <c r="I176" s="61">
        <f t="shared" si="59"/>
        <v>0.17198999999999998</v>
      </c>
      <c r="J176" s="61">
        <f t="shared" si="59"/>
        <v>0.17772299999999996</v>
      </c>
      <c r="K176" s="61">
        <f t="shared" si="59"/>
        <v>0.17772299999999996</v>
      </c>
      <c r="L176" s="61">
        <f t="shared" si="59"/>
        <v>0.17198999999999998</v>
      </c>
      <c r="M176" s="61">
        <f t="shared" si="59"/>
        <v>0.17198999999999998</v>
      </c>
      <c r="N176" s="61">
        <f t="shared" si="59"/>
        <v>0.17772299999999996</v>
      </c>
      <c r="O176" s="61">
        <f t="shared" si="59"/>
        <v>0.17772299999999996</v>
      </c>
      <c r="P176" s="61">
        <f t="shared" si="59"/>
        <v>0.17772299999999996</v>
      </c>
      <c r="Q176" s="61">
        <f t="shared" si="59"/>
        <v>0.17772299999999996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1.4217839999999997</v>
      </c>
      <c r="V177" s="61">
        <f t="shared" si="60"/>
        <v>1.3759199999999998</v>
      </c>
      <c r="W177" s="61">
        <f t="shared" si="60"/>
        <v>1.3759199999999998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1.4905799999999998</v>
      </c>
      <c r="I185" s="61">
        <f>SUM(CdTrp2!I175:I184)</f>
        <v>4.0934501999999995</v>
      </c>
      <c r="J185" s="61">
        <f>SUM(CdTrp2!J175:J184)</f>
        <v>4.1753512500000003</v>
      </c>
      <c r="K185" s="61">
        <f>SUM(CdTrp2!K175:K184)</f>
        <v>4.1753512500000003</v>
      </c>
      <c r="L185" s="61">
        <f>SUM(CdTrp2!L175:L184)</f>
        <v>1.5479099999999999</v>
      </c>
      <c r="M185" s="61">
        <f>SUM(CdTrp2!M175:M184)</f>
        <v>1.5479099999999999</v>
      </c>
      <c r="N185" s="61">
        <f>SUM(CdTrp2!N175:N184)</f>
        <v>1.5995069999999996</v>
      </c>
      <c r="O185" s="61">
        <f>SUM(CdTrp2!O175:O184)</f>
        <v>1.5995069999999996</v>
      </c>
      <c r="P185" s="61">
        <f>SUM(CdTrp2!P175:P184)</f>
        <v>1.5995069999999996</v>
      </c>
      <c r="Q185" s="61">
        <f>SUM(CdTrp2!Q175:Q184)</f>
        <v>1.5995069999999996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2.8555984799999998</v>
      </c>
      <c r="U185" s="61">
        <f>SUM(CdTrp2!U175:U184)</f>
        <v>2.8949709599999998</v>
      </c>
      <c r="V185" s="61">
        <f>SUM(CdTrp2!V175:V184)</f>
        <v>2.9210075999999994</v>
      </c>
      <c r="W185" s="61">
        <f>SUM(CdTrp2!W175:W184)</f>
        <v>2.9511719999999997</v>
      </c>
      <c r="X185" s="61">
        <f>SUM(CdTrp2!X175:X184)</f>
        <v>0</v>
      </c>
      <c r="Y185" s="61">
        <f>SUM(CdTrp2!Y175:Y184)</f>
        <v>0</v>
      </c>
      <c r="AA185" s="64">
        <f>SUM(B185:Y185)</f>
        <v>40.705978739999992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2.5983279000000001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0.1481025</v>
      </c>
      <c r="U215" s="61">
        <f t="shared" si="90"/>
        <v>0.1481025</v>
      </c>
      <c r="V215" s="61">
        <f t="shared" si="90"/>
        <v>5.7329999999999999E-2</v>
      </c>
      <c r="W215" s="61">
        <f t="shared" si="90"/>
        <v>2.8665E-2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1.4905799999999998</v>
      </c>
      <c r="I216" s="61">
        <f t="shared" si="91"/>
        <v>4.0934501999999995</v>
      </c>
      <c r="J216" s="61">
        <f t="shared" si="91"/>
        <v>4.1753512500000003</v>
      </c>
      <c r="K216" s="61">
        <f t="shared" si="91"/>
        <v>4.1753512500000003</v>
      </c>
      <c r="L216" s="61">
        <f t="shared" si="91"/>
        <v>1.5479099999999999</v>
      </c>
      <c r="M216" s="61">
        <f t="shared" si="91"/>
        <v>1.5479099999999999</v>
      </c>
      <c r="N216" s="61">
        <f t="shared" si="91"/>
        <v>1.5995069999999996</v>
      </c>
      <c r="O216" s="61">
        <f t="shared" si="91"/>
        <v>1.5995069999999996</v>
      </c>
      <c r="P216" s="61">
        <f t="shared" si="91"/>
        <v>1.5995069999999996</v>
      </c>
      <c r="Q216" s="61">
        <f t="shared" si="91"/>
        <v>1.5995069999999996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2.8555984799999998</v>
      </c>
      <c r="U216" s="61">
        <f t="shared" si="91"/>
        <v>2.8949709599999998</v>
      </c>
      <c r="V216" s="61">
        <f t="shared" si="91"/>
        <v>2.9210075999999994</v>
      </c>
      <c r="W216" s="61">
        <f t="shared" si="91"/>
        <v>2.9511719999999997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63.560528640000001</v>
      </c>
      <c r="AB219" t="s">
        <v>222</v>
      </c>
    </row>
    <row r="220" spans="1:28" x14ac:dyDescent="0.25">
      <c r="AA220" s="30">
        <f>SUM(B215:Y217)</f>
        <v>44.030486639999992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2023-01-09T10:29:18Z</dcterms:modified>
</cp:coreProperties>
</file>