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5" activeTab="1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48" r:id="rId18"/>
  </pivotCaches>
</workbook>
</file>

<file path=xl/calcChain.xml><?xml version="1.0" encoding="utf-8"?>
<calcChain xmlns="http://schemas.openxmlformats.org/spreadsheetml/2006/main">
  <c r="O14" i="23" l="1"/>
  <c r="C150" i="31" l="1"/>
  <c r="C151" i="31"/>
  <c r="C152" i="31"/>
  <c r="C153" i="31"/>
  <c r="C154" i="31"/>
  <c r="C155" i="31"/>
  <c r="C149" i="31"/>
  <c r="AV4" i="29"/>
  <c r="AW4" i="29"/>
  <c r="AX4" i="29"/>
  <c r="AY4" i="29"/>
  <c r="BD4" i="29" s="1"/>
  <c r="BE4" i="29" s="1"/>
  <c r="BF4" i="29" s="1"/>
  <c r="AZ4" i="29"/>
  <c r="BA4" i="29"/>
  <c r="BB4" i="29"/>
  <c r="BC4" i="29"/>
  <c r="AV5" i="29"/>
  <c r="AW5" i="29"/>
  <c r="BK5" i="29" s="1"/>
  <c r="AX5" i="29"/>
  <c r="AY5" i="29"/>
  <c r="AZ5" i="29"/>
  <c r="BA5" i="29"/>
  <c r="BB5" i="29"/>
  <c r="BC5" i="29"/>
  <c r="BJ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AV8" i="29"/>
  <c r="AW8" i="29"/>
  <c r="AX8" i="29"/>
  <c r="AY8" i="29"/>
  <c r="BD8" i="29" s="1"/>
  <c r="BE8" i="29" s="1"/>
  <c r="BF8" i="29" s="1"/>
  <c r="AZ8" i="29"/>
  <c r="BA8" i="29"/>
  <c r="BB8" i="29"/>
  <c r="BC8" i="29"/>
  <c r="BG8" i="29"/>
  <c r="BH8" i="29"/>
  <c r="BI8" i="29"/>
  <c r="BJ8" i="29"/>
  <c r="BK8" i="29"/>
  <c r="BL8" i="29"/>
  <c r="AV9" i="29"/>
  <c r="AW9" i="29"/>
  <c r="AX9" i="29"/>
  <c r="AY9" i="29"/>
  <c r="BD9" i="29" s="1"/>
  <c r="BE9" i="29" s="1"/>
  <c r="BF9" i="29" s="1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BD12" i="29" s="1"/>
  <c r="BE12" i="29" s="1"/>
  <c r="BF12" i="29" s="1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AV22" i="29"/>
  <c r="AW22" i="29"/>
  <c r="AX22" i="29"/>
  <c r="AY22" i="29"/>
  <c r="AZ22" i="29"/>
  <c r="BA22" i="29"/>
  <c r="BB22" i="29"/>
  <c r="BC22" i="29"/>
  <c r="BD22" i="29"/>
  <c r="BE22" i="29" s="1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AV26" i="29"/>
  <c r="AW26" i="29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AV29" i="29"/>
  <c r="AW29" i="29"/>
  <c r="AX29" i="29"/>
  <c r="AY29" i="29"/>
  <c r="AZ29" i="29"/>
  <c r="BA29" i="29"/>
  <c r="BB29" i="29"/>
  <c r="BC29" i="29"/>
  <c r="AV30" i="29"/>
  <c r="AW30" i="29"/>
  <c r="AX30" i="29"/>
  <c r="AY30" i="29"/>
  <c r="AZ30" i="29"/>
  <c r="BA30" i="29"/>
  <c r="BB30" i="29"/>
  <c r="BC30" i="29"/>
  <c r="BD30" i="29"/>
  <c r="BE30" i="29" s="1"/>
  <c r="BF30" i="29" s="1"/>
  <c r="BJ19" i="29" l="1"/>
  <c r="BJ15" i="29"/>
  <c r="BJ14" i="29"/>
  <c r="BJ30" i="29"/>
  <c r="BJ23" i="29"/>
  <c r="BG19" i="29"/>
  <c r="BH19" i="29"/>
  <c r="BI19" i="29"/>
  <c r="BL19" i="29"/>
  <c r="BL28" i="29"/>
  <c r="BG28" i="29"/>
  <c r="BH28" i="29"/>
  <c r="BI28" i="29"/>
  <c r="BJ28" i="29"/>
  <c r="BK28" i="29"/>
  <c r="BI15" i="29"/>
  <c r="BK15" i="29"/>
  <c r="BL15" i="29"/>
  <c r="BH15" i="29"/>
  <c r="BG9" i="29"/>
  <c r="BH9" i="29"/>
  <c r="BI9" i="29"/>
  <c r="BJ9" i="29"/>
  <c r="BK9" i="29"/>
  <c r="BL9" i="29"/>
  <c r="BG25" i="29"/>
  <c r="BH25" i="29"/>
  <c r="BI25" i="29"/>
  <c r="BJ25" i="29"/>
  <c r="BK25" i="29"/>
  <c r="BL25" i="29"/>
  <c r="BH24" i="29"/>
  <c r="BI24" i="29"/>
  <c r="BG24" i="29"/>
  <c r="BJ24" i="29"/>
  <c r="BK24" i="29"/>
  <c r="BL24" i="29"/>
  <c r="BL14" i="29"/>
  <c r="BI14" i="29"/>
  <c r="BG11" i="29"/>
  <c r="BH11" i="29"/>
  <c r="BI11" i="29"/>
  <c r="BL11" i="29"/>
  <c r="BJ11" i="29"/>
  <c r="BK7" i="29"/>
  <c r="BL7" i="29"/>
  <c r="BH7" i="29"/>
  <c r="BI7" i="29"/>
  <c r="BL4" i="29"/>
  <c r="BG4" i="29"/>
  <c r="BH4" i="29"/>
  <c r="BI4" i="29"/>
  <c r="BK4" i="29"/>
  <c r="BJ4" i="29"/>
  <c r="BL30" i="29"/>
  <c r="BI30" i="29"/>
  <c r="BJ27" i="29"/>
  <c r="BL20" i="29"/>
  <c r="BK20" i="29"/>
  <c r="BG20" i="29"/>
  <c r="BH20" i="29"/>
  <c r="BI20" i="29"/>
  <c r="BJ20" i="29"/>
  <c r="BJ6" i="29"/>
  <c r="BL22" i="29"/>
  <c r="BI22" i="29"/>
  <c r="BG27" i="29"/>
  <c r="BH27" i="29"/>
  <c r="BI27" i="29"/>
  <c r="BL27" i="29"/>
  <c r="BH16" i="29"/>
  <c r="BI16" i="29"/>
  <c r="BJ16" i="29"/>
  <c r="BK16" i="29"/>
  <c r="BG16" i="29"/>
  <c r="BL16" i="29"/>
  <c r="BL6" i="29"/>
  <c r="BI6" i="29"/>
  <c r="BL12" i="29"/>
  <c r="BG12" i="29"/>
  <c r="BK12" i="29"/>
  <c r="BH12" i="29"/>
  <c r="BI12" i="29"/>
  <c r="BJ12" i="29"/>
  <c r="BI23" i="29"/>
  <c r="BK23" i="29"/>
  <c r="BH23" i="29"/>
  <c r="BL23" i="29"/>
  <c r="BJ22" i="29"/>
  <c r="BH30" i="29"/>
  <c r="BK27" i="29"/>
  <c r="BD26" i="29"/>
  <c r="BE26" i="29" s="1"/>
  <c r="BF26" i="29" s="1"/>
  <c r="BG26" i="29" s="1"/>
  <c r="BG23" i="29"/>
  <c r="BH22" i="29"/>
  <c r="BK19" i="29"/>
  <c r="BD18" i="29"/>
  <c r="BE18" i="29" s="1"/>
  <c r="BF18" i="29" s="1"/>
  <c r="BG15" i="29"/>
  <c r="BH14" i="29"/>
  <c r="BK11" i="29"/>
  <c r="BD10" i="29"/>
  <c r="BE10" i="29" s="1"/>
  <c r="BF10" i="29" s="1"/>
  <c r="BG7" i="29"/>
  <c r="BH6" i="29"/>
  <c r="BI5" i="29"/>
  <c r="BG30" i="29"/>
  <c r="BG22" i="29"/>
  <c r="BD17" i="29"/>
  <c r="BE17" i="29" s="1"/>
  <c r="BF17" i="29" s="1"/>
  <c r="BH17" i="29" s="1"/>
  <c r="BG14" i="29"/>
  <c r="BG6" i="29"/>
  <c r="BH5" i="29"/>
  <c r="BG5" i="29"/>
  <c r="BK30" i="29"/>
  <c r="BD29" i="29"/>
  <c r="BE29" i="29" s="1"/>
  <c r="BF29" i="29" s="1"/>
  <c r="BJ29" i="29" s="1"/>
  <c r="BK22" i="29"/>
  <c r="BD21" i="29"/>
  <c r="BE21" i="29" s="1"/>
  <c r="BF21" i="29" s="1"/>
  <c r="BJ21" i="29" s="1"/>
  <c r="BK14" i="29"/>
  <c r="BD13" i="29"/>
  <c r="BE13" i="29" s="1"/>
  <c r="BF13" i="29" s="1"/>
  <c r="BJ13" i="29" s="1"/>
  <c r="BJ7" i="29"/>
  <c r="BK6" i="29"/>
  <c r="BL5" i="29"/>
  <c r="BD5" i="29"/>
  <c r="BE5" i="29" s="1"/>
  <c r="BF5" i="29" s="1"/>
  <c r="BL21" i="29" l="1"/>
  <c r="BJ26" i="29"/>
  <c r="BI26" i="29"/>
  <c r="BL17" i="29"/>
  <c r="BL26" i="29"/>
  <c r="BG21" i="29"/>
  <c r="BI18" i="29"/>
  <c r="BJ18" i="29"/>
  <c r="BH18" i="29"/>
  <c r="BG18" i="29"/>
  <c r="BL18" i="29"/>
  <c r="BK18" i="29"/>
  <c r="BI10" i="29"/>
  <c r="BG10" i="29"/>
  <c r="BL10" i="29"/>
  <c r="BK10" i="29"/>
  <c r="BJ10" i="29"/>
  <c r="BH10" i="29"/>
  <c r="BG29" i="29"/>
  <c r="BK13" i="29"/>
  <c r="BL29" i="29"/>
  <c r="BH21" i="29"/>
  <c r="BI29" i="29"/>
  <c r="BL13" i="29"/>
  <c r="BK26" i="29"/>
  <c r="BI21" i="29"/>
  <c r="BK29" i="29"/>
  <c r="BG13" i="29"/>
  <c r="BH13" i="29"/>
  <c r="BH29" i="29"/>
  <c r="BK21" i="29"/>
  <c r="BH26" i="29"/>
  <c r="BI13" i="29"/>
  <c r="BG17" i="29"/>
  <c r="BI17" i="29"/>
  <c r="BJ17" i="29"/>
  <c r="BK17" i="29"/>
  <c r="B87" i="30" l="1"/>
  <c r="AF4" i="18" l="1"/>
  <c r="T38" i="31" l="1"/>
  <c r="O13" i="23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/>
  <c r="M23" i="7" s="1"/>
  <c r="N23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C19" i="18" s="1"/>
  <c r="D15" i="18"/>
  <c r="D19" i="18" s="1"/>
  <c r="E15" i="18"/>
  <c r="E19" i="18" s="1"/>
  <c r="F15" i="18"/>
  <c r="F19" i="18" s="1"/>
  <c r="G15" i="18"/>
  <c r="G19" i="18" s="1"/>
  <c r="H15" i="18"/>
  <c r="H19" i="18" s="1"/>
  <c r="I15" i="18"/>
  <c r="I19" i="18" s="1"/>
  <c r="J15" i="18"/>
  <c r="K15" i="18"/>
  <c r="L15" i="18"/>
  <c r="M15" i="18"/>
  <c r="N15" i="18"/>
  <c r="O15" i="18"/>
  <c r="P15" i="18"/>
  <c r="Q15" i="18"/>
  <c r="R15" i="18"/>
  <c r="S15" i="18"/>
  <c r="T15" i="18"/>
  <c r="T19" i="18" s="1"/>
  <c r="U15" i="18"/>
  <c r="U19" i="18" s="1"/>
  <c r="V15" i="18"/>
  <c r="V19" i="18" s="1"/>
  <c r="W15" i="18"/>
  <c r="W19" i="18" s="1"/>
  <c r="X15" i="18"/>
  <c r="X19" i="18" s="1"/>
  <c r="Y15" i="18"/>
  <c r="Y19" i="18" s="1"/>
  <c r="B15" i="18"/>
  <c r="B19" i="18" s="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1" i="31"/>
  <c r="Y191" i="31"/>
  <c r="X191" i="31"/>
  <c r="Z190" i="31"/>
  <c r="Y190" i="31"/>
  <c r="X190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1" i="31"/>
  <c r="T190" i="31"/>
  <c r="T185" i="31"/>
  <c r="T184" i="31"/>
  <c r="T183" i="31"/>
  <c r="T182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1" i="28"/>
  <c r="Y191" i="28"/>
  <c r="X191" i="28"/>
  <c r="Z190" i="28"/>
  <c r="Y190" i="28"/>
  <c r="X190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1" i="28"/>
  <c r="T190" i="28"/>
  <c r="T185" i="28"/>
  <c r="T184" i="28"/>
  <c r="T183" i="28"/>
  <c r="T182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M7" i="7" l="1"/>
  <c r="M6" i="7"/>
  <c r="M5" i="7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V203" i="29" s="1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N201" i="29"/>
  <c r="N203" i="29" s="1"/>
  <c r="M201" i="29"/>
  <c r="L201" i="29"/>
  <c r="K201" i="29"/>
  <c r="J201" i="29"/>
  <c r="J203" i="29" s="1"/>
  <c r="I201" i="29"/>
  <c r="H201" i="29"/>
  <c r="H203" i="29" s="1"/>
  <c r="G201" i="29"/>
  <c r="F201" i="29"/>
  <c r="F203" i="29" s="1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Y196" i="29" s="1"/>
  <c r="AC76" i="30" s="1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M196" i="29" s="1"/>
  <c r="Q76" i="30" s="1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Y195" i="29" s="1"/>
  <c r="AC75" i="30" s="1"/>
  <c r="X180" i="29"/>
  <c r="W180" i="29"/>
  <c r="V180" i="29"/>
  <c r="U180" i="29"/>
  <c r="T180" i="29"/>
  <c r="T195" i="29" s="1"/>
  <c r="X75" i="30" s="1"/>
  <c r="S180" i="29"/>
  <c r="R180" i="29"/>
  <c r="Q180" i="29"/>
  <c r="P180" i="29"/>
  <c r="O180" i="29"/>
  <c r="N180" i="29"/>
  <c r="M180" i="29"/>
  <c r="L180" i="29"/>
  <c r="L195" i="29" s="1"/>
  <c r="P75" i="30" s="1"/>
  <c r="K180" i="29"/>
  <c r="J180" i="29"/>
  <c r="I180" i="29"/>
  <c r="H180" i="29"/>
  <c r="G180" i="29"/>
  <c r="F180" i="29"/>
  <c r="F195" i="29" s="1"/>
  <c r="J75" i="30" s="1"/>
  <c r="E180" i="29"/>
  <c r="D180" i="29"/>
  <c r="D195" i="29" s="1"/>
  <c r="H75" i="30" s="1"/>
  <c r="C180" i="29"/>
  <c r="B165" i="29"/>
  <c r="B122" i="29"/>
  <c r="B80" i="29"/>
  <c r="AD29" i="29"/>
  <c r="AD28" i="29"/>
  <c r="AH22" i="29"/>
  <c r="AK22" i="29" s="1"/>
  <c r="AK25" i="29" s="1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S74" i="31" s="1"/>
  <c r="BR63" i="31"/>
  <c r="BQ63" i="31"/>
  <c r="BP63" i="31"/>
  <c r="BO63" i="31"/>
  <c r="BN63" i="31"/>
  <c r="BM63" i="31"/>
  <c r="BL63" i="31"/>
  <c r="BK63" i="31"/>
  <c r="BK74" i="31" s="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S73" i="31" s="1"/>
  <c r="BR62" i="31"/>
  <c r="BQ62" i="31"/>
  <c r="BP62" i="31"/>
  <c r="BO62" i="31"/>
  <c r="BN62" i="31"/>
  <c r="BM62" i="31"/>
  <c r="BL62" i="31"/>
  <c r="BK62" i="31"/>
  <c r="BK73" i="31" s="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S70" i="31" s="1"/>
  <c r="BR59" i="31"/>
  <c r="BQ59" i="31"/>
  <c r="BP59" i="31"/>
  <c r="BO59" i="31"/>
  <c r="BN59" i="31"/>
  <c r="BM59" i="31"/>
  <c r="BL59" i="31"/>
  <c r="BK59" i="31"/>
  <c r="BK70" i="31" s="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E102" i="32"/>
  <c r="BE155" i="32" s="1"/>
  <c r="BD102" i="32"/>
  <c r="BD155" i="32" s="1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P154" i="32" s="1"/>
  <c r="BO101" i="32"/>
  <c r="BN101" i="32"/>
  <c r="BM101" i="32"/>
  <c r="BM154" i="32" s="1"/>
  <c r="BL101" i="32"/>
  <c r="BL154" i="32" s="1"/>
  <c r="BK101" i="32"/>
  <c r="BJ101" i="32"/>
  <c r="BI101" i="32"/>
  <c r="BH101" i="32"/>
  <c r="BH154" i="32" s="1"/>
  <c r="BG101" i="32"/>
  <c r="BF101" i="32"/>
  <c r="BE101" i="32"/>
  <c r="BE154" i="32" s="1"/>
  <c r="BD101" i="32"/>
  <c r="BD154" i="32" s="1"/>
  <c r="BC101" i="32"/>
  <c r="BB101" i="32"/>
  <c r="BA101" i="32"/>
  <c r="AZ101" i="32"/>
  <c r="AZ154" i="32" s="1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E152" i="32" s="1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L151" i="32" s="1"/>
  <c r="BK98" i="32"/>
  <c r="BJ98" i="32"/>
  <c r="BI98" i="32"/>
  <c r="BH98" i="32"/>
  <c r="BH151" i="32" s="1"/>
  <c r="BG98" i="32"/>
  <c r="BF98" i="32"/>
  <c r="BE98" i="32"/>
  <c r="BE151" i="32" s="1"/>
  <c r="BD98" i="32"/>
  <c r="BD151" i="32" s="1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BA70" i="31" s="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O73" i="31" s="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P71" i="31" s="1"/>
  <c r="BO49" i="31"/>
  <c r="BO71" i="31" s="1"/>
  <c r="BN49" i="31"/>
  <c r="BN71" i="31" s="1"/>
  <c r="BM49" i="31"/>
  <c r="BL49" i="31"/>
  <c r="BK49" i="31"/>
  <c r="BJ49" i="31"/>
  <c r="BI49" i="31"/>
  <c r="BI71" i="31" s="1"/>
  <c r="BH49" i="31"/>
  <c r="BH60" i="31" s="1"/>
  <c r="BH71" i="31" s="1"/>
  <c r="BG49" i="31"/>
  <c r="BF49" i="31"/>
  <c r="BE49" i="31"/>
  <c r="BD49" i="31"/>
  <c r="BC49" i="31"/>
  <c r="BB49" i="31"/>
  <c r="BB71" i="31" s="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H59" i="31" s="1"/>
  <c r="BH70" i="31" s="1"/>
  <c r="BG48" i="31"/>
  <c r="BF48" i="31"/>
  <c r="BE48" i="31"/>
  <c r="BD48" i="31"/>
  <c r="BC48" i="3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P94" i="30" s="1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Z94" i="30" s="1"/>
  <c r="AY41" i="30"/>
  <c r="AX41" i="30"/>
  <c r="AW41" i="30"/>
  <c r="AV41" i="30"/>
  <c r="BS40" i="30"/>
  <c r="BR40" i="30"/>
  <c r="BQ40" i="30"/>
  <c r="BP40" i="30"/>
  <c r="BO40" i="30"/>
  <c r="BO93" i="30" s="1"/>
  <c r="BN40" i="30"/>
  <c r="BM40" i="30"/>
  <c r="BL40" i="30"/>
  <c r="BK40" i="30"/>
  <c r="BJ40" i="30"/>
  <c r="BI40" i="30"/>
  <c r="BH40" i="30"/>
  <c r="BG40" i="30"/>
  <c r="BG93" i="30" s="1"/>
  <c r="BF40" i="30"/>
  <c r="BE40" i="30"/>
  <c r="BD40" i="30"/>
  <c r="BC40" i="30"/>
  <c r="BB40" i="30"/>
  <c r="BA40" i="30"/>
  <c r="AZ40" i="30"/>
  <c r="AY40" i="30"/>
  <c r="AY93" i="30" s="1"/>
  <c r="AX40" i="30"/>
  <c r="AX93" i="30" s="1"/>
  <c r="AW40" i="30"/>
  <c r="AW93" i="30" s="1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N91" i="30" s="1"/>
  <c r="BM38" i="30"/>
  <c r="BL38" i="30"/>
  <c r="BK38" i="30"/>
  <c r="BJ38" i="30"/>
  <c r="BJ91" i="30" s="1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J90" i="30" s="1"/>
  <c r="BI37" i="30"/>
  <c r="BH37" i="30"/>
  <c r="BG37" i="30"/>
  <c r="BG90" i="30" s="1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S94" i="30" s="1"/>
  <c r="BR8" i="30"/>
  <c r="BR19" i="30" s="1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C94" i="30" s="1"/>
  <c r="BB8" i="30"/>
  <c r="BB19" i="30" s="1"/>
  <c r="BA8" i="30"/>
  <c r="AZ8" i="30"/>
  <c r="AY8" i="30"/>
  <c r="AX8" i="30"/>
  <c r="AW8" i="30"/>
  <c r="AV8" i="30"/>
  <c r="BS7" i="30"/>
  <c r="BS18" i="30" s="1"/>
  <c r="BR7" i="30"/>
  <c r="BR18" i="30" s="1"/>
  <c r="BQ7" i="30"/>
  <c r="BP7" i="30"/>
  <c r="BP18" i="30" s="1"/>
  <c r="BO7" i="30"/>
  <c r="BN7" i="30"/>
  <c r="BM7" i="30"/>
  <c r="BL7" i="30"/>
  <c r="BK7" i="30"/>
  <c r="BJ7" i="30"/>
  <c r="BJ18" i="30" s="1"/>
  <c r="BI7" i="30"/>
  <c r="BI18" i="30" s="1"/>
  <c r="BH7" i="30"/>
  <c r="BH18" i="30" s="1"/>
  <c r="BG7" i="30"/>
  <c r="BF7" i="30"/>
  <c r="BE7" i="30"/>
  <c r="BD7" i="30"/>
  <c r="BC7" i="30"/>
  <c r="BC18" i="30" s="1"/>
  <c r="BB7" i="30"/>
  <c r="BB18" i="30" s="1"/>
  <c r="BA7" i="30"/>
  <c r="BA18" i="30" s="1"/>
  <c r="AZ7" i="30"/>
  <c r="AZ18" i="30" s="1"/>
  <c r="AY7" i="30"/>
  <c r="AX7" i="30"/>
  <c r="AW7" i="30"/>
  <c r="AV7" i="30"/>
  <c r="BS6" i="30"/>
  <c r="BS17" i="30" s="1"/>
  <c r="BR6" i="30"/>
  <c r="BR17" i="30" s="1"/>
  <c r="BQ6" i="30"/>
  <c r="BQ17" i="30" s="1"/>
  <c r="BP6" i="30"/>
  <c r="BP17" i="30" s="1"/>
  <c r="BO6" i="30"/>
  <c r="BN6" i="30"/>
  <c r="BM6" i="30"/>
  <c r="BL6" i="30"/>
  <c r="BK6" i="30"/>
  <c r="BK92" i="30" s="1"/>
  <c r="BJ6" i="30"/>
  <c r="BJ92" i="30" s="1"/>
  <c r="BI6" i="30"/>
  <c r="BI17" i="30" s="1"/>
  <c r="BH6" i="30"/>
  <c r="BG6" i="30"/>
  <c r="BF6" i="30"/>
  <c r="BE6" i="30"/>
  <c r="BD6" i="30"/>
  <c r="BC6" i="30"/>
  <c r="BC17" i="30" s="1"/>
  <c r="BB6" i="30"/>
  <c r="BB92" i="30" s="1"/>
  <c r="BA6" i="30"/>
  <c r="BA17" i="30" s="1"/>
  <c r="AZ6" i="30"/>
  <c r="AZ92" i="30" s="1"/>
  <c r="AY6" i="30"/>
  <c r="AX6" i="30"/>
  <c r="AW6" i="30"/>
  <c r="AV6" i="30"/>
  <c r="BS5" i="30"/>
  <c r="BS16" i="30" s="1"/>
  <c r="BR5" i="30"/>
  <c r="BR16" i="30" s="1"/>
  <c r="BQ5" i="30"/>
  <c r="BQ91" i="30" s="1"/>
  <c r="BP5" i="30"/>
  <c r="BP91" i="30" s="1"/>
  <c r="BO5" i="30"/>
  <c r="BN5" i="30"/>
  <c r="BM5" i="30"/>
  <c r="BL5" i="30"/>
  <c r="BK5" i="30"/>
  <c r="BJ5" i="30"/>
  <c r="BJ16" i="30" s="1"/>
  <c r="BI5" i="30"/>
  <c r="BI16" i="30" s="1"/>
  <c r="BH5" i="30"/>
  <c r="BH16" i="30" s="1"/>
  <c r="BG5" i="30"/>
  <c r="BF5" i="30"/>
  <c r="BE5" i="30"/>
  <c r="BD5" i="30"/>
  <c r="BC5" i="30"/>
  <c r="BC16" i="30" s="1"/>
  <c r="BB5" i="30"/>
  <c r="BB16" i="30" s="1"/>
  <c r="BA5" i="30"/>
  <c r="BA91" i="30" s="1"/>
  <c r="AZ5" i="30"/>
  <c r="AZ16" i="30" s="1"/>
  <c r="AY5" i="30"/>
  <c r="AX5" i="30"/>
  <c r="AW5" i="30"/>
  <c r="AV5" i="30"/>
  <c r="BS4" i="30"/>
  <c r="BS15" i="30" s="1"/>
  <c r="BR4" i="30"/>
  <c r="BR15" i="30" s="1"/>
  <c r="BQ4" i="30"/>
  <c r="BP4" i="30"/>
  <c r="BP90" i="30" s="1"/>
  <c r="BO4" i="30"/>
  <c r="BN4" i="30"/>
  <c r="BM4" i="30"/>
  <c r="BL4" i="30"/>
  <c r="BK4" i="30"/>
  <c r="BK15" i="30" s="1"/>
  <c r="BJ4" i="30"/>
  <c r="BJ15" i="30" s="1"/>
  <c r="BI4" i="30"/>
  <c r="BI15" i="30" s="1"/>
  <c r="BH4" i="30"/>
  <c r="BH15" i="30" s="1"/>
  <c r="BG4" i="30"/>
  <c r="BF4" i="30"/>
  <c r="BE4" i="30"/>
  <c r="BD4" i="30"/>
  <c r="BC4" i="30"/>
  <c r="BC15" i="30" s="1"/>
  <c r="BB4" i="30"/>
  <c r="BB15" i="30" s="1"/>
  <c r="BA4" i="30"/>
  <c r="BA90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Y4" i="29" s="1"/>
  <c r="X82" i="29"/>
  <c r="X20" i="29" s="1"/>
  <c r="X21" i="29" s="1"/>
  <c r="X7" i="29" s="1"/>
  <c r="X12" i="29" s="1"/>
  <c r="W82" i="29"/>
  <c r="W5" i="29" s="1"/>
  <c r="W9" i="29" s="1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G4" i="29" s="1"/>
  <c r="F82" i="29"/>
  <c r="E82" i="29"/>
  <c r="D82" i="29"/>
  <c r="C82" i="29"/>
  <c r="Z81" i="29"/>
  <c r="Y81" i="29"/>
  <c r="X81" i="29"/>
  <c r="W81" i="29"/>
  <c r="V81" i="29"/>
  <c r="U81" i="29"/>
  <c r="T81" i="29"/>
  <c r="S81" i="29"/>
  <c r="S20" i="29" s="1"/>
  <c r="S21" i="29" s="1"/>
  <c r="S7" i="29" s="1"/>
  <c r="S12" i="29" s="1"/>
  <c r="R81" i="29"/>
  <c r="Q81" i="29"/>
  <c r="Q4" i="29" s="1"/>
  <c r="P81" i="29"/>
  <c r="O81" i="29"/>
  <c r="N81" i="29"/>
  <c r="M81" i="29"/>
  <c r="L81" i="29"/>
  <c r="K81" i="29"/>
  <c r="K5" i="29" s="1"/>
  <c r="K9" i="29" s="1"/>
  <c r="J81" i="29"/>
  <c r="I81" i="29"/>
  <c r="H81" i="29"/>
  <c r="G81" i="29"/>
  <c r="F81" i="29"/>
  <c r="E81" i="29"/>
  <c r="D81" i="29"/>
  <c r="C81" i="29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K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V27" i="28" s="1"/>
  <c r="AB27" i="28" s="1"/>
  <c r="U26" i="28"/>
  <c r="T26" i="28"/>
  <c r="V26" i="28" s="1"/>
  <c r="U25" i="28"/>
  <c r="T25" i="28"/>
  <c r="V25" i="28" s="1"/>
  <c r="AB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AD129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K155" i="32"/>
  <c r="BJ155" i="32"/>
  <c r="BI155" i="32"/>
  <c r="BG155" i="32"/>
  <c r="BF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BR154" i="32"/>
  <c r="BQ154" i="32"/>
  <c r="BO154" i="32"/>
  <c r="BN154" i="32"/>
  <c r="BK154" i="32"/>
  <c r="BJ154" i="32"/>
  <c r="BI154" i="32"/>
  <c r="BG154" i="32"/>
  <c r="BF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BK152" i="32"/>
  <c r="BJ152" i="32"/>
  <c r="BI152" i="32"/>
  <c r="BH152" i="32"/>
  <c r="BG152" i="32"/>
  <c r="BF152" i="32"/>
  <c r="BD152" i="32"/>
  <c r="B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BK151" i="32"/>
  <c r="BJ151" i="32"/>
  <c r="BI151" i="32"/>
  <c r="BG151" i="32"/>
  <c r="BF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AT155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AT68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59" i="31"/>
  <c r="AA259" i="31" s="1"/>
  <c r="Z260" i="31"/>
  <c r="AA260" i="31" s="1"/>
  <c r="T246" i="31"/>
  <c r="B166" i="31" s="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J150" i="31"/>
  <c r="C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R74" i="31"/>
  <c r="BQ74" i="31"/>
  <c r="BP74" i="31"/>
  <c r="BN74" i="31"/>
  <c r="BM74" i="31"/>
  <c r="BL74" i="31"/>
  <c r="BJ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N73" i="31"/>
  <c r="BM73" i="31"/>
  <c r="BL73" i="31"/>
  <c r="BJ73" i="31"/>
  <c r="BI73" i="31"/>
  <c r="BH62" i="31"/>
  <c r="BH73" i="31" s="1"/>
  <c r="BE73" i="31"/>
  <c r="BD73" i="31"/>
  <c r="BC73" i="31"/>
  <c r="AZ73" i="31"/>
  <c r="AX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S72" i="31"/>
  <c r="BR72" i="31"/>
  <c r="BQ72" i="31"/>
  <c r="BP72" i="31"/>
  <c r="BN72" i="31"/>
  <c r="BM72" i="31"/>
  <c r="BL72" i="31"/>
  <c r="BK72" i="31"/>
  <c r="BJ72" i="31"/>
  <c r="BI72" i="31"/>
  <c r="BE72" i="31"/>
  <c r="BD72" i="31"/>
  <c r="BC72" i="31"/>
  <c r="BB72" i="31"/>
  <c r="BA72" i="31"/>
  <c r="AZ72" i="31"/>
  <c r="AX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R71" i="31"/>
  <c r="BQ71" i="31"/>
  <c r="BM71" i="31"/>
  <c r="BL71" i="31"/>
  <c r="BJ71" i="31"/>
  <c r="BE71" i="31"/>
  <c r="BD71" i="31"/>
  <c r="BC71" i="31"/>
  <c r="AZ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R70" i="31"/>
  <c r="BQ70" i="31"/>
  <c r="BP70" i="31"/>
  <c r="BM70" i="31"/>
  <c r="BL70" i="31"/>
  <c r="BJ70" i="31"/>
  <c r="BI70" i="31"/>
  <c r="BE70" i="31"/>
  <c r="BD70" i="31"/>
  <c r="BC70" i="31"/>
  <c r="AX70" i="31"/>
  <c r="AW70" i="31"/>
  <c r="AV70" i="31"/>
  <c r="V41" i="31"/>
  <c r="V39" i="31"/>
  <c r="V38" i="31"/>
  <c r="Z35" i="31"/>
  <c r="V31" i="31"/>
  <c r="V29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Q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A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R93" i="30"/>
  <c r="BQ93" i="30"/>
  <c r="BP93" i="30"/>
  <c r="BN93" i="30"/>
  <c r="BM93" i="30"/>
  <c r="BL93" i="30"/>
  <c r="BK93" i="30"/>
  <c r="BJ93" i="30"/>
  <c r="BI93" i="30"/>
  <c r="BH93" i="30"/>
  <c r="BF93" i="30"/>
  <c r="BE93" i="30"/>
  <c r="BD93" i="30"/>
  <c r="BC93" i="30"/>
  <c r="BB93" i="30"/>
  <c r="BA93" i="30"/>
  <c r="AZ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R92" i="30"/>
  <c r="BN92" i="30"/>
  <c r="BM92" i="30"/>
  <c r="BL92" i="30"/>
  <c r="BF92" i="30"/>
  <c r="BE92" i="30"/>
  <c r="BD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M91" i="30"/>
  <c r="BL91" i="30"/>
  <c r="BK91" i="30"/>
  <c r="BI91" i="30"/>
  <c r="BH91" i="30"/>
  <c r="BF91" i="30"/>
  <c r="BE91" i="30"/>
  <c r="BD91" i="30"/>
  <c r="BC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N90" i="30"/>
  <c r="BM90" i="30"/>
  <c r="BL90" i="30"/>
  <c r="BK90" i="30"/>
  <c r="BI90" i="30"/>
  <c r="BH90" i="30"/>
  <c r="BF90" i="30"/>
  <c r="BE90" i="30"/>
  <c r="BD90" i="30"/>
  <c r="AX90" i="30"/>
  <c r="AW90" i="30"/>
  <c r="AV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BB30" i="30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N19" i="30"/>
  <c r="BJ19" i="30"/>
  <c r="BJ75" i="30" s="1"/>
  <c r="BF19" i="30"/>
  <c r="BF75" i="30" s="1"/>
  <c r="AX19" i="30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BM18" i="30"/>
  <c r="BE18" i="30"/>
  <c r="AW18" i="30"/>
  <c r="AW63" i="30" s="1"/>
  <c r="AW109" i="30" s="1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BE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BM16" i="30"/>
  <c r="BE16" i="30"/>
  <c r="AW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AW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O18" i="30"/>
  <c r="BN18" i="30"/>
  <c r="BL18" i="30"/>
  <c r="BK18" i="30"/>
  <c r="BG18" i="30"/>
  <c r="BF18" i="30"/>
  <c r="BD18" i="30"/>
  <c r="AY18" i="30"/>
  <c r="AX18" i="30"/>
  <c r="AV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O17" i="30"/>
  <c r="BN17" i="30"/>
  <c r="BL17" i="30"/>
  <c r="BK17" i="30"/>
  <c r="BG17" i="30"/>
  <c r="BF17" i="30"/>
  <c r="BD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O16" i="30"/>
  <c r="BN16" i="30"/>
  <c r="BL16" i="30"/>
  <c r="BK16" i="30"/>
  <c r="BG16" i="30"/>
  <c r="BF16" i="30"/>
  <c r="BD16" i="30"/>
  <c r="AY16" i="30"/>
  <c r="AX16" i="30"/>
  <c r="AV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O15" i="30"/>
  <c r="BN15" i="30"/>
  <c r="BL15" i="30"/>
  <c r="BG15" i="30"/>
  <c r="BF15" i="30"/>
  <c r="BD15" i="30"/>
  <c r="AY15" i="30"/>
  <c r="AX15" i="30"/>
  <c r="AV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V186" i="29"/>
  <c r="U186" i="29"/>
  <c r="T186" i="29"/>
  <c r="S186" i="29"/>
  <c r="R186" i="29"/>
  <c r="R196" i="29" s="1"/>
  <c r="V76" i="30" s="1"/>
  <c r="Q186" i="29"/>
  <c r="P186" i="29"/>
  <c r="P196" i="29" s="1"/>
  <c r="T76" i="30" s="1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H196" i="29" s="1"/>
  <c r="L76" i="30" s="1"/>
  <c r="G186" i="29"/>
  <c r="F186" i="29"/>
  <c r="E186" i="29"/>
  <c r="D186" i="29"/>
  <c r="C186" i="29"/>
  <c r="Z185" i="29"/>
  <c r="Z195" i="29" s="1"/>
  <c r="AD75" i="30" s="1"/>
  <c r="Y185" i="29"/>
  <c r="X185" i="29"/>
  <c r="W185" i="29"/>
  <c r="V185" i="29"/>
  <c r="U185" i="29"/>
  <c r="T185" i="29"/>
  <c r="S185" i="29"/>
  <c r="R185" i="29"/>
  <c r="R195" i="29" s="1"/>
  <c r="V75" i="30" s="1"/>
  <c r="Q185" i="29"/>
  <c r="P185" i="29"/>
  <c r="P195" i="29" s="1"/>
  <c r="T75" i="30" s="1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H195" i="29" s="1"/>
  <c r="L75" i="30" s="1"/>
  <c r="G185" i="29"/>
  <c r="F185" i="29"/>
  <c r="E185" i="29"/>
  <c r="D185" i="29"/>
  <c r="C185" i="29"/>
  <c r="Z196" i="29"/>
  <c r="AD76" i="30" s="1"/>
  <c r="Q196" i="29"/>
  <c r="U76" i="30" s="1"/>
  <c r="X195" i="29"/>
  <c r="AB75" i="30" s="1"/>
  <c r="Q195" i="29"/>
  <c r="U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Y20" i="29"/>
  <c r="Y21" i="29" s="1"/>
  <c r="Y7" i="29" s="1"/>
  <c r="Y12" i="29" s="1"/>
  <c r="U20" i="29"/>
  <c r="U21" i="29" s="1"/>
  <c r="U7" i="29" s="1"/>
  <c r="U12" i="29" s="1"/>
  <c r="M20" i="29"/>
  <c r="M21" i="29" s="1"/>
  <c r="M7" i="29" s="1"/>
  <c r="M12" i="29" s="1"/>
  <c r="I20" i="29"/>
  <c r="I21" i="29" s="1"/>
  <c r="I7" i="29" s="1"/>
  <c r="I12" i="29" s="1"/>
  <c r="E20" i="29"/>
  <c r="E21" i="29" s="1"/>
  <c r="E7" i="29" s="1"/>
  <c r="E12" i="29" s="1"/>
  <c r="C19" i="29"/>
  <c r="C6" i="29" s="1"/>
  <c r="C10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Z20" i="29"/>
  <c r="Z21" i="29" s="1"/>
  <c r="Z7" i="29" s="1"/>
  <c r="Z12" i="29" s="1"/>
  <c r="V20" i="29"/>
  <c r="V21" i="29" s="1"/>
  <c r="V7" i="29" s="1"/>
  <c r="V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F20" i="29"/>
  <c r="F21" i="29" s="1"/>
  <c r="F7" i="29" s="1"/>
  <c r="F12" i="29" s="1"/>
  <c r="C20" i="29"/>
  <c r="C21" i="29" s="1"/>
  <c r="C7" i="29" s="1"/>
  <c r="C12" i="29" s="1"/>
  <c r="Z5" i="29"/>
  <c r="Z9" i="29" s="1"/>
  <c r="V5" i="29"/>
  <c r="V9" i="29" s="1"/>
  <c r="U5" i="29"/>
  <c r="U9" i="29" s="1"/>
  <c r="T5" i="29"/>
  <c r="T9" i="29" s="1"/>
  <c r="N5" i="29"/>
  <c r="N9" i="29" s="1"/>
  <c r="M5" i="29"/>
  <c r="M9" i="29" s="1"/>
  <c r="L5" i="29"/>
  <c r="L9" i="29" s="1"/>
  <c r="J5" i="29"/>
  <c r="J9" i="29" s="1"/>
  <c r="I5" i="29"/>
  <c r="I9" i="29" s="1"/>
  <c r="H5" i="29"/>
  <c r="H9" i="29" s="1"/>
  <c r="F5" i="29"/>
  <c r="F9" i="29" s="1"/>
  <c r="E5" i="29"/>
  <c r="E9" i="29" s="1"/>
  <c r="D5" i="29"/>
  <c r="D9" i="29" s="1"/>
  <c r="C5" i="29"/>
  <c r="C9" i="29" s="1"/>
  <c r="Z4" i="29"/>
  <c r="X4" i="29"/>
  <c r="V4" i="29"/>
  <c r="U4" i="29"/>
  <c r="T4" i="29"/>
  <c r="R4" i="29"/>
  <c r="P4" i="29"/>
  <c r="N4" i="29"/>
  <c r="M4" i="29"/>
  <c r="L4" i="29"/>
  <c r="J4" i="29"/>
  <c r="I4" i="29"/>
  <c r="F4" i="29"/>
  <c r="E4" i="29"/>
  <c r="D4" i="29"/>
  <c r="C4" i="29"/>
  <c r="Z3" i="29"/>
  <c r="V3" i="29"/>
  <c r="V8" i="29" s="1"/>
  <c r="U3" i="29"/>
  <c r="T3" i="29"/>
  <c r="T8" i="29" s="1"/>
  <c r="R3" i="29"/>
  <c r="V72" i="30" s="1"/>
  <c r="N3" i="29"/>
  <c r="M3" i="29"/>
  <c r="L3" i="29"/>
  <c r="L8" i="29" s="1"/>
  <c r="K3" i="29"/>
  <c r="J3" i="29"/>
  <c r="I3" i="29"/>
  <c r="F3" i="29"/>
  <c r="F8" i="29" s="1"/>
  <c r="E3" i="29"/>
  <c r="E8" i="29" s="1"/>
  <c r="D3" i="29"/>
  <c r="D8" i="29" s="1"/>
  <c r="C3" i="29"/>
  <c r="C8" i="29" s="1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K11" i="28"/>
  <c r="K10" i="28"/>
  <c r="Z194" i="31" l="1"/>
  <c r="Y194" i="31"/>
  <c r="X194" i="31"/>
  <c r="T194" i="31"/>
  <c r="Y193" i="28"/>
  <c r="X193" i="28"/>
  <c r="AA193" i="28" s="1"/>
  <c r="Z193" i="28"/>
  <c r="AC193" i="28" s="1"/>
  <c r="T193" i="28"/>
  <c r="AG193" i="28" s="1"/>
  <c r="Z194" i="28"/>
  <c r="T194" i="28"/>
  <c r="Y194" i="28"/>
  <c r="X194" i="28"/>
  <c r="Z192" i="31"/>
  <c r="Y192" i="31"/>
  <c r="AB192" i="31" s="1"/>
  <c r="X192" i="31"/>
  <c r="T192" i="31"/>
  <c r="X193" i="31"/>
  <c r="Z193" i="31"/>
  <c r="T193" i="31"/>
  <c r="Y193" i="31"/>
  <c r="Z192" i="28"/>
  <c r="AC192" i="28" s="1"/>
  <c r="Y192" i="28"/>
  <c r="AB192" i="28" s="1"/>
  <c r="X192" i="28"/>
  <c r="T192" i="28"/>
  <c r="BB90" i="30"/>
  <c r="BS19" i="30"/>
  <c r="BC90" i="30"/>
  <c r="BR94" i="30"/>
  <c r="BB94" i="30"/>
  <c r="BS90" i="30"/>
  <c r="BO90" i="30"/>
  <c r="BF30" i="30"/>
  <c r="BB75" i="30"/>
  <c r="BJ30" i="30"/>
  <c r="Z189" i="28"/>
  <c r="Y189" i="28"/>
  <c r="T189" i="28"/>
  <c r="W189" i="28" s="1"/>
  <c r="X189" i="28"/>
  <c r="AA189" i="28" s="1"/>
  <c r="Z189" i="31"/>
  <c r="AC189" i="31" s="1"/>
  <c r="Y189" i="31"/>
  <c r="AB189" i="31" s="1"/>
  <c r="X189" i="31"/>
  <c r="T189" i="31"/>
  <c r="AG189" i="31" s="1"/>
  <c r="N8" i="29"/>
  <c r="R72" i="30"/>
  <c r="BH92" i="30"/>
  <c r="U195" i="29"/>
  <c r="Y75" i="30" s="1"/>
  <c r="E195" i="29"/>
  <c r="I75" i="30" s="1"/>
  <c r="G203" i="29"/>
  <c r="G195" i="29"/>
  <c r="K75" i="30" s="1"/>
  <c r="W195" i="29"/>
  <c r="AA75" i="30" s="1"/>
  <c r="G196" i="29"/>
  <c r="K76" i="30" s="1"/>
  <c r="W196" i="29"/>
  <c r="AA76" i="30" s="1"/>
  <c r="AA77" i="30" s="1"/>
  <c r="O203" i="29"/>
  <c r="Y181" i="28"/>
  <c r="AB181" i="28" s="1"/>
  <c r="X181" i="28"/>
  <c r="AA181" i="28" s="1"/>
  <c r="T181" i="28"/>
  <c r="AF181" i="28" s="1"/>
  <c r="Z181" i="28"/>
  <c r="T181" i="31"/>
  <c r="AJ181" i="31" s="1"/>
  <c r="Z181" i="31"/>
  <c r="Y181" i="31"/>
  <c r="AB181" i="31" s="1"/>
  <c r="X181" i="31"/>
  <c r="AA181" i="31" s="1"/>
  <c r="Z171" i="31"/>
  <c r="AC171" i="31" s="1"/>
  <c r="Y171" i="31"/>
  <c r="AB171" i="31" s="1"/>
  <c r="X171" i="31"/>
  <c r="AA171" i="31" s="1"/>
  <c r="T171" i="31"/>
  <c r="X171" i="28"/>
  <c r="AA171" i="28" s="1"/>
  <c r="T171" i="28"/>
  <c r="Z171" i="28"/>
  <c r="AC171" i="28" s="1"/>
  <c r="Y171" i="28"/>
  <c r="AB171" i="28" s="1"/>
  <c r="Q20" i="29"/>
  <c r="Q21" i="29" s="1"/>
  <c r="Q7" i="29" s="1"/>
  <c r="Q12" i="29" s="1"/>
  <c r="Q5" i="29"/>
  <c r="Q9" i="29" s="1"/>
  <c r="Q3" i="29"/>
  <c r="O4" i="29"/>
  <c r="F212" i="29"/>
  <c r="D224" i="32"/>
  <c r="D223" i="32"/>
  <c r="D18" i="32"/>
  <c r="D20" i="32"/>
  <c r="D19" i="32"/>
  <c r="M8" i="29"/>
  <c r="W20" i="29"/>
  <c r="W21" i="29" s="1"/>
  <c r="W7" i="29" s="1"/>
  <c r="W12" i="29" s="1"/>
  <c r="X188" i="28"/>
  <c r="AA188" i="28" s="1"/>
  <c r="Z188" i="28"/>
  <c r="AC188" i="28" s="1"/>
  <c r="T188" i="28"/>
  <c r="Y188" i="28"/>
  <c r="AB188" i="28" s="1"/>
  <c r="Y188" i="31"/>
  <c r="AB188" i="31" s="1"/>
  <c r="Z188" i="31"/>
  <c r="AC188" i="31" s="1"/>
  <c r="X188" i="31"/>
  <c r="AA188" i="31" s="1"/>
  <c r="T188" i="31"/>
  <c r="U188" i="31" s="1"/>
  <c r="C196" i="29"/>
  <c r="G76" i="30" s="1"/>
  <c r="Y3" i="29"/>
  <c r="Y8" i="29" s="1"/>
  <c r="Y5" i="29"/>
  <c r="Y9" i="29" s="1"/>
  <c r="Z187" i="28"/>
  <c r="AC187" i="28" s="1"/>
  <c r="Y187" i="28"/>
  <c r="AB187" i="28" s="1"/>
  <c r="T187" i="28"/>
  <c r="X187" i="28"/>
  <c r="AA187" i="28" s="1"/>
  <c r="Y187" i="31"/>
  <c r="AB187" i="31" s="1"/>
  <c r="X187" i="31"/>
  <c r="AA187" i="31" s="1"/>
  <c r="T187" i="31"/>
  <c r="Z187" i="31"/>
  <c r="AC187" i="31" s="1"/>
  <c r="Z180" i="28"/>
  <c r="AC180" i="28" s="1"/>
  <c r="T180" i="28"/>
  <c r="Y180" i="28"/>
  <c r="AB180" i="28" s="1"/>
  <c r="X180" i="28"/>
  <c r="AA180" i="28" s="1"/>
  <c r="Z180" i="31"/>
  <c r="Y180" i="31"/>
  <c r="AB180" i="31" s="1"/>
  <c r="X180" i="31"/>
  <c r="AA180" i="31" s="1"/>
  <c r="T180" i="31"/>
  <c r="AF180" i="31" s="1"/>
  <c r="Z170" i="31"/>
  <c r="AC170" i="31" s="1"/>
  <c r="X170" i="31"/>
  <c r="AA170" i="31" s="1"/>
  <c r="Y170" i="31"/>
  <c r="AB170" i="31" s="1"/>
  <c r="T170" i="31"/>
  <c r="V170" i="31" s="1"/>
  <c r="X170" i="28"/>
  <c r="AA170" i="28" s="1"/>
  <c r="T170" i="28"/>
  <c r="Z170" i="28"/>
  <c r="AC170" i="28" s="1"/>
  <c r="Y170" i="28"/>
  <c r="AB170" i="28" s="1"/>
  <c r="U135" i="31"/>
  <c r="U136" i="31"/>
  <c r="L114" i="31" s="1"/>
  <c r="U134" i="31"/>
  <c r="U133" i="31"/>
  <c r="U137" i="31"/>
  <c r="U132" i="31"/>
  <c r="AF145" i="31"/>
  <c r="AF139" i="31"/>
  <c r="AF133" i="31"/>
  <c r="AF127" i="31"/>
  <c r="AF142" i="31"/>
  <c r="AF136" i="31"/>
  <c r="AF130" i="31"/>
  <c r="BS71" i="31"/>
  <c r="W3" i="29"/>
  <c r="Z8" i="29"/>
  <c r="W4" i="29"/>
  <c r="BA71" i="31"/>
  <c r="G5" i="29"/>
  <c r="G9" i="29" s="1"/>
  <c r="G20" i="29"/>
  <c r="G21" i="29" s="1"/>
  <c r="G7" i="29" s="1"/>
  <c r="G12" i="29" s="1"/>
  <c r="I8" i="29"/>
  <c r="G3" i="29"/>
  <c r="G8" i="29" s="1"/>
  <c r="E2" i="29"/>
  <c r="O3" i="29"/>
  <c r="O20" i="29"/>
  <c r="O21" i="29" s="1"/>
  <c r="O7" i="29" s="1"/>
  <c r="O12" i="29" s="1"/>
  <c r="BK71" i="31"/>
  <c r="O5" i="29"/>
  <c r="O9" i="29" s="1"/>
  <c r="R8" i="29"/>
  <c r="J8" i="29"/>
  <c r="D203" i="29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AB168" i="28" s="1"/>
  <c r="X168" i="28"/>
  <c r="AA168" i="28" s="1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AB166" i="31" s="1"/>
  <c r="X166" i="31"/>
  <c r="AA166" i="31" s="1"/>
  <c r="T166" i="31"/>
  <c r="W166" i="31" s="1"/>
  <c r="Z165" i="28"/>
  <c r="AC165" i="28" s="1"/>
  <c r="Y165" i="28"/>
  <c r="AB165" i="28" s="1"/>
  <c r="T165" i="28"/>
  <c r="X165" i="28"/>
  <c r="AA165" i="28" s="1"/>
  <c r="Z169" i="28"/>
  <c r="AC169" i="28" s="1"/>
  <c r="Y169" i="28"/>
  <c r="AB169" i="28" s="1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AC166" i="28" s="1"/>
  <c r="X166" i="28"/>
  <c r="AA166" i="28" s="1"/>
  <c r="Y166" i="28"/>
  <c r="AB166" i="28" s="1"/>
  <c r="T164" i="31"/>
  <c r="Z164" i="31"/>
  <c r="AC164" i="31" s="1"/>
  <c r="Y164" i="31"/>
  <c r="AB164" i="31" s="1"/>
  <c r="X164" i="31"/>
  <c r="AA164" i="31" s="1"/>
  <c r="X168" i="31"/>
  <c r="AA168" i="31" s="1"/>
  <c r="T168" i="31"/>
  <c r="Z168" i="31"/>
  <c r="AC168" i="31" s="1"/>
  <c r="Y168" i="31"/>
  <c r="AB168" i="31" s="1"/>
  <c r="X165" i="31"/>
  <c r="AA165" i="31" s="1"/>
  <c r="T165" i="31"/>
  <c r="Y165" i="31"/>
  <c r="AB165" i="31" s="1"/>
  <c r="Z165" i="31"/>
  <c r="AC165" i="31" s="1"/>
  <c r="Z167" i="28"/>
  <c r="AC167" i="28" s="1"/>
  <c r="Y167" i="28"/>
  <c r="AB167" i="28" s="1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J178" i="28" s="1"/>
  <c r="X178" i="28"/>
  <c r="AA178" i="28" s="1"/>
  <c r="Y178" i="31"/>
  <c r="AB178" i="31" s="1"/>
  <c r="T178" i="31"/>
  <c r="X178" i="31"/>
  <c r="AA178" i="31" s="1"/>
  <c r="Z178" i="31"/>
  <c r="AC178" i="31" s="1"/>
  <c r="Z177" i="31"/>
  <c r="AC177" i="31" s="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AB176" i="28" s="1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AG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AC186" i="31" s="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AF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AC173" i="31" s="1"/>
  <c r="T173" i="31"/>
  <c r="Z173" i="28"/>
  <c r="AC173" i="28" s="1"/>
  <c r="T173" i="28"/>
  <c r="Y173" i="28"/>
  <c r="AB173" i="28" s="1"/>
  <c r="X173" i="28"/>
  <c r="AA173" i="28" s="1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BQ99" i="30" s="1"/>
  <c r="BQ100" i="30" s="1"/>
  <c r="BQ101" i="30" s="1"/>
  <c r="D196" i="29"/>
  <c r="H76" i="30" s="1"/>
  <c r="H77" i="30" s="1"/>
  <c r="BA15" i="30"/>
  <c r="L196" i="29"/>
  <c r="P76" i="30" s="1"/>
  <c r="P77" i="30" s="1"/>
  <c r="BP16" i="30"/>
  <c r="T196" i="29"/>
  <c r="X76" i="30" s="1"/>
  <c r="X77" i="30" s="1"/>
  <c r="BI92" i="30"/>
  <c r="BI99" i="30" s="1"/>
  <c r="BI100" i="30" s="1"/>
  <c r="BI101" i="30" s="1"/>
  <c r="M195" i="29"/>
  <c r="Q75" i="30" s="1"/>
  <c r="Q77" i="30" s="1"/>
  <c r="E196" i="29"/>
  <c r="I76" i="30" s="1"/>
  <c r="I77" i="30" s="1"/>
  <c r="U196" i="29"/>
  <c r="Y76" i="30" s="1"/>
  <c r="BJ17" i="30"/>
  <c r="BH17" i="30"/>
  <c r="AY91" i="30"/>
  <c r="BO91" i="30"/>
  <c r="AY92" i="30"/>
  <c r="BG92" i="30"/>
  <c r="BO92" i="30"/>
  <c r="AZ17" i="30"/>
  <c r="AZ62" i="30" s="1"/>
  <c r="AZ108" i="30" s="1"/>
  <c r="BP92" i="30"/>
  <c r="BB17" i="30"/>
  <c r="BB62" i="30" s="1"/>
  <c r="BB108" i="30" s="1"/>
  <c r="AZ91" i="30"/>
  <c r="BB91" i="30"/>
  <c r="BB99" i="30" s="1"/>
  <c r="BB100" i="30" s="1"/>
  <c r="BB101" i="30" s="1"/>
  <c r="BR91" i="30"/>
  <c r="K195" i="29"/>
  <c r="O75" i="30" s="1"/>
  <c r="S195" i="29"/>
  <c r="W75" i="30" s="1"/>
  <c r="K196" i="29"/>
  <c r="O76" i="30" s="1"/>
  <c r="S196" i="29"/>
  <c r="W76" i="30" s="1"/>
  <c r="K203" i="29"/>
  <c r="AZ90" i="30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8" i="29" s="1"/>
  <c r="H4" i="29"/>
  <c r="P5" i="29"/>
  <c r="P9" i="29" s="1"/>
  <c r="P20" i="29"/>
  <c r="P21" i="29" s="1"/>
  <c r="P7" i="29" s="1"/>
  <c r="P12" i="29" s="1"/>
  <c r="P3" i="29"/>
  <c r="X5" i="29"/>
  <c r="X9" i="29" s="1"/>
  <c r="X3" i="29"/>
  <c r="X8" i="29" s="1"/>
  <c r="BQ90" i="30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C184" i="31"/>
  <c r="AE184" i="31" s="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H12" i="29" s="1"/>
  <c r="AT9" i="30"/>
  <c r="BA16" i="30"/>
  <c r="BA61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D190" i="32" s="1"/>
  <c r="AK190" i="32" s="1"/>
  <c r="X246" i="31"/>
  <c r="DV89" i="32"/>
  <c r="AC181" i="28"/>
  <c r="W185" i="28"/>
  <c r="AC185" i="28"/>
  <c r="AE185" i="28" s="1"/>
  <c r="AC189" i="28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D279" i="32" s="1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Y2" i="29"/>
  <c r="DO27" i="30"/>
  <c r="EA27" i="30"/>
  <c r="CW30" i="30"/>
  <c r="DK31" i="30"/>
  <c r="DS34" i="30"/>
  <c r="C280" i="32"/>
  <c r="D280" i="32" s="1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K156" i="29"/>
  <c r="L161" i="29"/>
  <c r="C195" i="29"/>
  <c r="G75" i="30" s="1"/>
  <c r="AI131" i="31"/>
  <c r="AI146" i="31"/>
  <c r="AI140" i="31"/>
  <c r="DZ87" i="32"/>
  <c r="DY90" i="32"/>
  <c r="AI171" i="31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A182" i="28"/>
  <c r="AC182" i="28"/>
  <c r="AI182" i="28"/>
  <c r="AB190" i="28"/>
  <c r="AA190" i="28"/>
  <c r="AC190" i="28"/>
  <c r="AI190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R12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A185" i="31"/>
  <c r="AJ185" i="31"/>
  <c r="AB185" i="31"/>
  <c r="AA189" i="31"/>
  <c r="U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AE225" i="31" s="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G212" i="29"/>
  <c r="K212" i="29"/>
  <c r="S212" i="29"/>
  <c r="W212" i="29"/>
  <c r="K213" i="29"/>
  <c r="C186" i="32"/>
  <c r="D186" i="32" s="1"/>
  <c r="AJ217" i="32" s="1"/>
  <c r="X273" i="31"/>
  <c r="AP202" i="32"/>
  <c r="AQ202" i="32" s="1"/>
  <c r="AJ204" i="32"/>
  <c r="AK204" i="32" s="1"/>
  <c r="V212" i="29"/>
  <c r="S5" i="29"/>
  <c r="S9" i="29" s="1"/>
  <c r="S4" i="29"/>
  <c r="S3" i="29"/>
  <c r="R5" i="29"/>
  <c r="R9" i="29" s="1"/>
  <c r="O212" i="29"/>
  <c r="O195" i="29"/>
  <c r="S75" i="30" s="1"/>
  <c r="O196" i="29"/>
  <c r="S76" i="30" s="1"/>
  <c r="N212" i="29"/>
  <c r="K4" i="29"/>
  <c r="K8" i="29" s="1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AX75" i="30" s="1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BN75" i="30" s="1"/>
  <c r="CK30" i="30"/>
  <c r="BP31" i="30"/>
  <c r="BM31" i="30"/>
  <c r="AW31" i="30"/>
  <c r="BI31" i="30"/>
  <c r="BE31" i="30"/>
  <c r="BR31" i="30"/>
  <c r="BQ32" i="30"/>
  <c r="DR32" i="30"/>
  <c r="C212" i="29"/>
  <c r="X2" i="29"/>
  <c r="CC26" i="30"/>
  <c r="CN26" i="30"/>
  <c r="CX26" i="30"/>
  <c r="EA26" i="30"/>
  <c r="CD28" i="30"/>
  <c r="CO28" i="30"/>
  <c r="CL29" i="30"/>
  <c r="DJ29" i="30"/>
  <c r="DZ29" i="30"/>
  <c r="BR30" i="30"/>
  <c r="BR75" i="30" s="1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BK90" i="31"/>
  <c r="AE90" i="31"/>
  <c r="AL98" i="31"/>
  <c r="AM99" i="31"/>
  <c r="AI137" i="31"/>
  <c r="F213" i="29"/>
  <c r="N213" i="29"/>
  <c r="R213" i="29"/>
  <c r="V213" i="29"/>
  <c r="Z213" i="29"/>
  <c r="J152" i="31"/>
  <c r="C225" i="32" s="1"/>
  <c r="DO160" i="32"/>
  <c r="DO161" i="32" s="1"/>
  <c r="DO162" i="32" s="1"/>
  <c r="AP203" i="32"/>
  <c r="AQ203" i="32" s="1"/>
  <c r="AY92" i="31"/>
  <c r="BN97" i="31"/>
  <c r="AR99" i="31"/>
  <c r="BS103" i="31"/>
  <c r="AX105" i="31"/>
  <c r="W205" i="31"/>
  <c r="AP200" i="32"/>
  <c r="AQ200" i="32" s="1"/>
  <c r="AF22" i="29"/>
  <c r="AK21" i="29" s="1"/>
  <c r="S213" i="29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Q29" i="30"/>
  <c r="BQ63" i="30" s="1"/>
  <c r="AW90" i="32"/>
  <c r="BB90" i="32"/>
  <c r="BH90" i="32"/>
  <c r="BM90" i="32"/>
  <c r="BR90" i="32"/>
  <c r="BA63" i="30"/>
  <c r="AV29" i="30"/>
  <c r="BD29" i="30"/>
  <c r="BD63" i="30" s="1"/>
  <c r="BL29" i="30"/>
  <c r="BL74" i="30" s="1"/>
  <c r="AX90" i="32"/>
  <c r="BD90" i="32"/>
  <c r="BI90" i="32"/>
  <c r="BN90" i="32"/>
  <c r="AW29" i="30"/>
  <c r="BE29" i="30"/>
  <c r="BE63" i="30" s="1"/>
  <c r="BM29" i="30"/>
  <c r="BM63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201" i="28"/>
  <c r="BC90" i="31"/>
  <c r="BR105" i="31"/>
  <c r="AM105" i="31"/>
  <c r="BS105" i="31"/>
  <c r="AC105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D234" i="32" s="1"/>
  <c r="X240" i="31"/>
  <c r="AO190" i="32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X28" i="31"/>
  <c r="AB28" i="31" s="1"/>
  <c r="AC28" i="31" s="1"/>
  <c r="X30" i="31"/>
  <c r="AF28" i="31" s="1"/>
  <c r="AG28" i="31" s="1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71" i="31"/>
  <c r="AI181" i="31"/>
  <c r="W193" i="31"/>
  <c r="AF193" i="31"/>
  <c r="U205" i="31"/>
  <c r="W221" i="31"/>
  <c r="G73" i="29"/>
  <c r="F2" i="29"/>
  <c r="J2" i="29"/>
  <c r="N2" i="29"/>
  <c r="R2" i="29"/>
  <c r="V2" i="29"/>
  <c r="Z2" i="29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A100" i="30" s="1"/>
  <c r="BA101" i="30" s="1"/>
  <c r="BE99" i="30"/>
  <c r="BM99" i="30"/>
  <c r="BM100" i="30" s="1"/>
  <c r="BM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K27" i="31"/>
  <c r="AK28" i="31" s="1"/>
  <c r="J38" i="31" s="1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205" i="31"/>
  <c r="AG221" i="31"/>
  <c r="O73" i="29"/>
  <c r="F68" i="29"/>
  <c r="J68" i="29"/>
  <c r="N68" i="29"/>
  <c r="R68" i="29"/>
  <c r="V68" i="29"/>
  <c r="Z68" i="29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J159" i="29"/>
  <c r="J62" i="29" s="1"/>
  <c r="J63" i="29" s="1"/>
  <c r="J49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A203" i="28"/>
  <c r="C182" i="32"/>
  <c r="D182" i="32" s="1"/>
  <c r="AJ215" i="32" s="1"/>
  <c r="X233" i="31"/>
  <c r="C306" i="32" s="1"/>
  <c r="X271" i="31"/>
  <c r="Z28" i="28"/>
  <c r="Z31" i="28"/>
  <c r="AF182" i="28"/>
  <c r="AJ182" i="28"/>
  <c r="AC184" i="28"/>
  <c r="AA185" i="28"/>
  <c r="AF190" i="28"/>
  <c r="AJ190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40" i="29"/>
  <c r="C27" i="29" s="1"/>
  <c r="J59" i="29"/>
  <c r="Z61" i="29"/>
  <c r="Z48" i="29" s="1"/>
  <c r="DD120" i="32"/>
  <c r="DD166" i="32" s="1"/>
  <c r="DD59" i="30"/>
  <c r="DD105" i="30" s="1"/>
  <c r="AY60" i="30"/>
  <c r="AY106" i="30" s="1"/>
  <c r="BG60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F73" i="30"/>
  <c r="BF62" i="30"/>
  <c r="BF108" i="30" s="1"/>
  <c r="BJ73" i="30"/>
  <c r="BJ62" i="30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110" i="30" s="1"/>
  <c r="AZ64" i="30"/>
  <c r="AZ110" i="30" s="1"/>
  <c r="BD64" i="30"/>
  <c r="BD110" i="30" s="1"/>
  <c r="BD75" i="30"/>
  <c r="BH64" i="30"/>
  <c r="BH110" i="30" s="1"/>
  <c r="BH75" i="30"/>
  <c r="BL64" i="30"/>
  <c r="BL110" i="30" s="1"/>
  <c r="BL75" i="30"/>
  <c r="BP64" i="30"/>
  <c r="BP110" i="30" s="1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L77" i="30"/>
  <c r="AB77" i="30"/>
  <c r="AU120" i="32"/>
  <c r="AU166" i="32" s="1"/>
  <c r="AU59" i="30"/>
  <c r="AU105" i="30" s="1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BB61" i="30"/>
  <c r="BN72" i="30"/>
  <c r="BN61" i="30"/>
  <c r="BR72" i="30"/>
  <c r="BR61" i="30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74" i="30"/>
  <c r="BH63" i="30"/>
  <c r="BH74" i="30"/>
  <c r="BP63" i="30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110" i="30" s="1"/>
  <c r="BA64" i="30"/>
  <c r="BA110" i="30" s="1"/>
  <c r="BA75" i="30"/>
  <c r="BE64" i="30"/>
  <c r="BE110" i="30" s="1"/>
  <c r="BE75" i="30"/>
  <c r="BI64" i="30"/>
  <c r="BI110" i="30" s="1"/>
  <c r="BI75" i="30"/>
  <c r="BM64" i="30"/>
  <c r="BM110" i="30" s="1"/>
  <c r="BM75" i="30"/>
  <c r="BQ64" i="30"/>
  <c r="BQ110" i="30" s="1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S99" i="30"/>
  <c r="BS100" i="30" s="1"/>
  <c r="BS101" i="30" s="1"/>
  <c r="M77" i="30"/>
  <c r="AC77" i="30"/>
  <c r="Z25" i="28"/>
  <c r="Z27" i="28"/>
  <c r="W28" i="28"/>
  <c r="AA28" i="28"/>
  <c r="W31" i="28"/>
  <c r="AA31" i="28"/>
  <c r="U182" i="28"/>
  <c r="AG182" i="28"/>
  <c r="AF185" i="28"/>
  <c r="AJ185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V182" i="28"/>
  <c r="AA184" i="28"/>
  <c r="U185" i="28"/>
  <c r="AB185" i="28"/>
  <c r="AG185" i="28"/>
  <c r="AB189" i="28"/>
  <c r="V190" i="28"/>
  <c r="AA192" i="28"/>
  <c r="AB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G2" i="29"/>
  <c r="K2" i="29"/>
  <c r="O2" i="29"/>
  <c r="W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166" i="32" s="1"/>
  <c r="CA59" i="30"/>
  <c r="CA105" i="30" s="1"/>
  <c r="DC106" i="30"/>
  <c r="DC71" i="30"/>
  <c r="AY61" i="30"/>
  <c r="BO61" i="30"/>
  <c r="BS72" i="30"/>
  <c r="BS61" i="30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AD77" i="30"/>
  <c r="C10" i="32"/>
  <c r="D10" i="32" s="1"/>
  <c r="C22" i="32"/>
  <c r="D22" i="32" s="1"/>
  <c r="T254" i="31"/>
  <c r="K72" i="28"/>
  <c r="C40" i="32" s="1"/>
  <c r="D40" i="32" s="1"/>
  <c r="AC18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W182" i="28"/>
  <c r="V185" i="28"/>
  <c r="W190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J71" i="30"/>
  <c r="BJ60" i="30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Z72" i="30"/>
  <c r="AZ61" i="30"/>
  <c r="BD72" i="30"/>
  <c r="BD61" i="30"/>
  <c r="BL72" i="30"/>
  <c r="BL61" i="30"/>
  <c r="BP72" i="30"/>
  <c r="BP61" i="30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110" i="30" s="1"/>
  <c r="BC64" i="30"/>
  <c r="BC110" i="30" s="1"/>
  <c r="BG64" i="30"/>
  <c r="BG110" i="30" s="1"/>
  <c r="BG75" i="30"/>
  <c r="BK64" i="30"/>
  <c r="BK110" i="30" s="1"/>
  <c r="BK75" i="30"/>
  <c r="BO64" i="30"/>
  <c r="BO110" i="30" s="1"/>
  <c r="BS64" i="30"/>
  <c r="BS110" i="30" s="1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AX99" i="30"/>
  <c r="AX100" i="30" s="1"/>
  <c r="AX101" i="30" s="1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AX110" i="30" s="1"/>
  <c r="BB64" i="30"/>
  <c r="BB110" i="30" s="1"/>
  <c r="BF64" i="30"/>
  <c r="BF110" i="30" s="1"/>
  <c r="BJ64" i="30"/>
  <c r="BJ110" i="30" s="1"/>
  <c r="BN64" i="30"/>
  <c r="BN110" i="30" s="1"/>
  <c r="BR64" i="30"/>
  <c r="BR110" i="30" s="1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AY75" i="30" s="1"/>
  <c r="BC30" i="30"/>
  <c r="BC75" i="30" s="1"/>
  <c r="BG30" i="30"/>
  <c r="BK30" i="30"/>
  <c r="BO30" i="30"/>
  <c r="BO75" i="30" s="1"/>
  <c r="BS30" i="30"/>
  <c r="BS75" i="30" s="1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CK100" i="30"/>
  <c r="CK101" i="30" s="1"/>
  <c r="DV100" i="30"/>
  <c r="DV101" i="30" s="1"/>
  <c r="AB27" i="31"/>
  <c r="AC27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BD28" i="30"/>
  <c r="BD73" i="30" s="1"/>
  <c r="BH28" i="30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F29" i="30"/>
  <c r="BF74" i="30" s="1"/>
  <c r="BJ29" i="30"/>
  <c r="BJ63" i="30" s="1"/>
  <c r="BN29" i="30"/>
  <c r="BN74" i="30" s="1"/>
  <c r="BR29" i="30"/>
  <c r="BR63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V75" i="30" s="1"/>
  <c r="AZ30" i="30"/>
  <c r="AZ75" i="30" s="1"/>
  <c r="BD30" i="30"/>
  <c r="BH30" i="30"/>
  <c r="BL30" i="30"/>
  <c r="BP30" i="30"/>
  <c r="BP75" i="30" s="1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AF27" i="31"/>
  <c r="AG27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K29" i="30"/>
  <c r="BK74" i="30" s="1"/>
  <c r="BO29" i="30"/>
  <c r="BO63" i="30" s="1"/>
  <c r="CC29" i="30"/>
  <c r="CG29" i="30"/>
  <c r="CK29" i="30"/>
  <c r="CO29" i="30"/>
  <c r="CS29" i="30"/>
  <c r="DH29" i="30"/>
  <c r="DL29" i="30"/>
  <c r="DP29" i="30"/>
  <c r="DT29" i="30"/>
  <c r="DX29" i="30"/>
  <c r="AW30" i="30"/>
  <c r="AW75" i="30" s="1"/>
  <c r="BA30" i="30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A60" i="30"/>
  <c r="BA106" i="30" s="1"/>
  <c r="BI60" i="30"/>
  <c r="BM60" i="30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BI61" i="30"/>
  <c r="BM61" i="30"/>
  <c r="BQ61" i="30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BE100" i="30"/>
  <c r="BE101" i="30" s="1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Z136" i="31"/>
  <c r="AA136" i="31" s="1"/>
  <c r="Z132" i="31"/>
  <c r="AA132" i="31" s="1"/>
  <c r="L113" i="31"/>
  <c r="W171" i="31"/>
  <c r="AC180" i="31"/>
  <c r="AB184" i="31"/>
  <c r="AA184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C181" i="31"/>
  <c r="AG184" i="31"/>
  <c r="U184" i="31"/>
  <c r="W184" i="31"/>
  <c r="AF184" i="31"/>
  <c r="V184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U181" i="31"/>
  <c r="AI184" i="31"/>
  <c r="V185" i="31"/>
  <c r="AI185" i="31"/>
  <c r="AG185" i="31"/>
  <c r="W185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U193" i="28" l="1"/>
  <c r="V181" i="28"/>
  <c r="U181" i="28"/>
  <c r="W181" i="28"/>
  <c r="V193" i="28"/>
  <c r="AJ193" i="28"/>
  <c r="W193" i="28"/>
  <c r="AE193" i="28"/>
  <c r="AF193" i="28"/>
  <c r="AI193" i="28"/>
  <c r="BO99" i="30"/>
  <c r="BO100" i="30" s="1"/>
  <c r="BO101" i="30" s="1"/>
  <c r="V186" i="28"/>
  <c r="AJ189" i="28"/>
  <c r="BS107" i="30"/>
  <c r="BS117" i="30" s="1"/>
  <c r="AD5" i="30" s="1"/>
  <c r="Y77" i="30"/>
  <c r="U189" i="28"/>
  <c r="AF189" i="28"/>
  <c r="AE189" i="28"/>
  <c r="V189" i="28"/>
  <c r="AG189" i="28"/>
  <c r="AF167" i="31"/>
  <c r="AG181" i="28"/>
  <c r="AI181" i="28"/>
  <c r="AJ181" i="28"/>
  <c r="AE181" i="28"/>
  <c r="W189" i="31"/>
  <c r="AJ189" i="31"/>
  <c r="AF189" i="31"/>
  <c r="V189" i="31"/>
  <c r="AE189" i="31"/>
  <c r="Q8" i="29"/>
  <c r="U72" i="30"/>
  <c r="U77" i="30" s="1"/>
  <c r="P8" i="29"/>
  <c r="T72" i="30"/>
  <c r="T77" i="30" s="1"/>
  <c r="O8" i="29"/>
  <c r="S72" i="30"/>
  <c r="S77" i="30" s="1"/>
  <c r="K77" i="30"/>
  <c r="AE181" i="31"/>
  <c r="G77" i="30"/>
  <c r="AF181" i="31"/>
  <c r="S214" i="29"/>
  <c r="W181" i="31"/>
  <c r="F214" i="29"/>
  <c r="AG181" i="31"/>
  <c r="V181" i="31"/>
  <c r="AE186" i="28"/>
  <c r="W186" i="28"/>
  <c r="U186" i="28"/>
  <c r="S8" i="29"/>
  <c r="AE172" i="31"/>
  <c r="W188" i="31"/>
  <c r="V188" i="31"/>
  <c r="W174" i="31"/>
  <c r="D225" i="32"/>
  <c r="C185" i="32"/>
  <c r="U175" i="31"/>
  <c r="W180" i="31"/>
  <c r="W169" i="31"/>
  <c r="BO109" i="30"/>
  <c r="BJ106" i="30"/>
  <c r="AF178" i="28"/>
  <c r="V175" i="31"/>
  <c r="AF169" i="31"/>
  <c r="W175" i="31"/>
  <c r="AY107" i="30"/>
  <c r="BB107" i="30"/>
  <c r="BQ107" i="30"/>
  <c r="AZ107" i="30"/>
  <c r="AX107" i="30"/>
  <c r="AX117" i="30" s="1"/>
  <c r="I5" i="30" s="1"/>
  <c r="BM107" i="30"/>
  <c r="BM106" i="30"/>
  <c r="W178" i="28"/>
  <c r="AG178" i="28"/>
  <c r="V178" i="28"/>
  <c r="BI107" i="30"/>
  <c r="BI106" i="30"/>
  <c r="BB109" i="30"/>
  <c r="BP107" i="30"/>
  <c r="AV107" i="30"/>
  <c r="AV117" i="30" s="1"/>
  <c r="G5" i="30" s="1"/>
  <c r="U178" i="28"/>
  <c r="BA107" i="30"/>
  <c r="AF175" i="31"/>
  <c r="V169" i="31"/>
  <c r="AW107" i="30"/>
  <c r="AW117" i="30" s="1"/>
  <c r="H5" i="30" s="1"/>
  <c r="BR107" i="30"/>
  <c r="V174" i="31"/>
  <c r="AF186" i="28"/>
  <c r="W209" i="31"/>
  <c r="AJ209" i="31"/>
  <c r="AF209" i="31"/>
  <c r="V209" i="31"/>
  <c r="AJ174" i="31"/>
  <c r="AG174" i="31"/>
  <c r="U174" i="31"/>
  <c r="AI209" i="31"/>
  <c r="AD226" i="31"/>
  <c r="AH226" i="31" s="1"/>
  <c r="AD202" i="31"/>
  <c r="AH202" i="31" s="1"/>
  <c r="V168" i="31"/>
  <c r="AF168" i="31"/>
  <c r="W168" i="31"/>
  <c r="AE188" i="31"/>
  <c r="W170" i="31"/>
  <c r="AE170" i="31"/>
  <c r="U170" i="31"/>
  <c r="AF170" i="31"/>
  <c r="AG170" i="31"/>
  <c r="AF188" i="31"/>
  <c r="AJ188" i="31"/>
  <c r="AG188" i="31"/>
  <c r="AG180" i="31"/>
  <c r="V180" i="31"/>
  <c r="AJ180" i="31"/>
  <c r="AE180" i="31"/>
  <c r="AI180" i="31"/>
  <c r="U180" i="31"/>
  <c r="V167" i="31"/>
  <c r="W167" i="31"/>
  <c r="AD170" i="31"/>
  <c r="AH170" i="31" s="1"/>
  <c r="Y214" i="29"/>
  <c r="W8" i="29"/>
  <c r="H2" i="29"/>
  <c r="BD107" i="30"/>
  <c r="BG109" i="30"/>
  <c r="BR109" i="30"/>
  <c r="BB106" i="30"/>
  <c r="AZ109" i="30"/>
  <c r="BJ109" i="30"/>
  <c r="BO107" i="30"/>
  <c r="BN107" i="30"/>
  <c r="BE106" i="30"/>
  <c r="BL107" i="30"/>
  <c r="BP109" i="30"/>
  <c r="J214" i="29"/>
  <c r="BH73" i="30"/>
  <c r="W77" i="30"/>
  <c r="AZ73" i="30"/>
  <c r="BR99" i="30"/>
  <c r="BR100" i="30" s="1"/>
  <c r="BR101" i="30" s="1"/>
  <c r="AY99" i="30"/>
  <c r="AY100" i="30" s="1"/>
  <c r="AY101" i="30" s="1"/>
  <c r="AB29" i="31"/>
  <c r="AC29" i="31" s="1"/>
  <c r="AC30" i="31" s="1"/>
  <c r="J34" i="31" s="1"/>
  <c r="C201" i="32" s="1"/>
  <c r="Z17" i="29"/>
  <c r="Z214" i="29"/>
  <c r="V179" i="31"/>
  <c r="BE109" i="30"/>
  <c r="BI109" i="30"/>
  <c r="BA109" i="30"/>
  <c r="BH109" i="30"/>
  <c r="BJ108" i="30"/>
  <c r="BG106" i="30"/>
  <c r="BM109" i="30"/>
  <c r="BD109" i="30"/>
  <c r="BQ109" i="30"/>
  <c r="AF166" i="31"/>
  <c r="R214" i="29"/>
  <c r="H214" i="29"/>
  <c r="AE167" i="31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AI168" i="31" s="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I175" i="31" s="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P16" i="29"/>
  <c r="BP71" i="30"/>
  <c r="BA72" i="30"/>
  <c r="BA83" i="30" s="1"/>
  <c r="J16" i="29"/>
  <c r="T214" i="29"/>
  <c r="R76" i="30"/>
  <c r="R77" i="30" s="1"/>
  <c r="J76" i="30"/>
  <c r="J77" i="30" s="1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F17" i="29"/>
  <c r="AI225" i="31"/>
  <c r="AD19" i="29"/>
  <c r="AF19" i="29" s="1"/>
  <c r="AK20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U225" i="31"/>
  <c r="W19" i="29"/>
  <c r="W6" i="29" s="1"/>
  <c r="W10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V214" i="29"/>
  <c r="AD167" i="31"/>
  <c r="AH167" i="31" s="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R15" i="29"/>
  <c r="P15" i="29"/>
  <c r="N17" i="29"/>
  <c r="L19" i="29"/>
  <c r="L6" i="29" s="1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BL63" i="30"/>
  <c r="BL109" i="30" s="1"/>
  <c r="Z59" i="29"/>
  <c r="W15" i="29"/>
  <c r="O62" i="29"/>
  <c r="O63" i="29" s="1"/>
  <c r="O49" i="29" s="1"/>
  <c r="F57" i="29"/>
  <c r="Z62" i="29"/>
  <c r="Z63" i="29" s="1"/>
  <c r="Z49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G62" i="29"/>
  <c r="G63" i="29" s="1"/>
  <c r="G49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K113" i="31"/>
  <c r="AD196" i="31"/>
  <c r="AH196" i="31" s="1"/>
  <c r="AD178" i="31"/>
  <c r="AH178" i="31" s="1"/>
  <c r="AP29" i="31"/>
  <c r="J35" i="31" s="1"/>
  <c r="C202" i="32" s="1"/>
  <c r="AD199" i="31"/>
  <c r="AH199" i="31" s="1"/>
  <c r="AD181" i="31"/>
  <c r="AH181" i="31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O15" i="29"/>
  <c r="O17" i="29"/>
  <c r="O16" i="29"/>
  <c r="O19" i="29"/>
  <c r="O6" i="29" s="1"/>
  <c r="O10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61" i="29"/>
  <c r="Y48" i="29" s="1"/>
  <c r="Y58" i="29"/>
  <c r="Y60" i="29" s="1"/>
  <c r="N15" i="29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61" i="29"/>
  <c r="X48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X16" i="29"/>
  <c r="H17" i="29"/>
  <c r="H15" i="29"/>
  <c r="H16" i="29"/>
  <c r="S60" i="29"/>
  <c r="S64" i="29" s="1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3" i="30"/>
  <c r="BR84" i="30"/>
  <c r="BR81" i="30"/>
  <c r="BJ81" i="30"/>
  <c r="BB84" i="30"/>
  <c r="BB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40" i="29"/>
  <c r="O27" i="29" s="1"/>
  <c r="O38" i="29"/>
  <c r="O37" i="29"/>
  <c r="O36" i="29"/>
  <c r="O39" i="29" s="1"/>
  <c r="DX84" i="30"/>
  <c r="DH84" i="30"/>
  <c r="CN82" i="30"/>
  <c r="BQ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R57" i="29"/>
  <c r="R62" i="29"/>
  <c r="R63" i="29" s="1"/>
  <c r="R49" i="29" s="1"/>
  <c r="C32" i="29"/>
  <c r="C34" i="29" s="1"/>
  <c r="P41" i="29"/>
  <c r="P42" i="29" s="1"/>
  <c r="P28" i="29" s="1"/>
  <c r="P40" i="29"/>
  <c r="P27" i="29" s="1"/>
  <c r="P38" i="29"/>
  <c r="P37" i="29"/>
  <c r="P36" i="29"/>
  <c r="I41" i="29"/>
  <c r="I42" i="29" s="1"/>
  <c r="I28" i="29" s="1"/>
  <c r="I40" i="29"/>
  <c r="I27" i="29" s="1"/>
  <c r="I38" i="29"/>
  <c r="I37" i="29"/>
  <c r="I36" i="29"/>
  <c r="Y41" i="29"/>
  <c r="Y42" i="29" s="1"/>
  <c r="Y28" i="29" s="1"/>
  <c r="Y40" i="29"/>
  <c r="Y27" i="29" s="1"/>
  <c r="Y38" i="29"/>
  <c r="Y37" i="29"/>
  <c r="Y36" i="29"/>
  <c r="R41" i="29"/>
  <c r="R42" i="29" s="1"/>
  <c r="R28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I188" i="28" s="1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J165" i="31"/>
  <c r="AF165" i="31"/>
  <c r="AE165" i="31"/>
  <c r="W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61" i="29"/>
  <c r="T48" i="29" s="1"/>
  <c r="T59" i="29"/>
  <c r="T58" i="29"/>
  <c r="T57" i="29"/>
  <c r="D62" i="29"/>
  <c r="D63" i="29" s="1"/>
  <c r="D49" i="29" s="1"/>
  <c r="D61" i="29"/>
  <c r="D48" i="29" s="1"/>
  <c r="D59" i="29"/>
  <c r="D58" i="29"/>
  <c r="D57" i="29"/>
  <c r="T17" i="29"/>
  <c r="T16" i="29"/>
  <c r="D17" i="29"/>
  <c r="D16" i="29"/>
  <c r="D15" i="29"/>
  <c r="BZ112" i="30"/>
  <c r="BZ77" i="30"/>
  <c r="C251" i="32"/>
  <c r="D251" i="32" s="1"/>
  <c r="AK191" i="32"/>
  <c r="AO191" i="32" s="1"/>
  <c r="T247" i="31"/>
  <c r="X247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S55" i="29"/>
  <c r="S53" i="29"/>
  <c r="X53" i="29"/>
  <c r="W41" i="29"/>
  <c r="W42" i="29" s="1"/>
  <c r="W28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J188" i="28"/>
  <c r="AF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E165" i="28"/>
  <c r="AJ165" i="28"/>
  <c r="AF165" i="28"/>
  <c r="W165" i="28"/>
  <c r="V165" i="28"/>
  <c r="R16" i="29"/>
  <c r="DX83" i="30"/>
  <c r="DH83" i="30"/>
  <c r="CN84" i="30"/>
  <c r="BQ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DT83" i="30"/>
  <c r="CJ84" i="30"/>
  <c r="BM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8" i="29"/>
  <c r="M37" i="29"/>
  <c r="M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J187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U62" i="29"/>
  <c r="U63" i="29" s="1"/>
  <c r="U49" i="29" s="1"/>
  <c r="U58" i="29"/>
  <c r="U61" i="29"/>
  <c r="U48" i="29" s="1"/>
  <c r="U59" i="29"/>
  <c r="U57" i="29"/>
  <c r="E62" i="29"/>
  <c r="E63" i="29" s="1"/>
  <c r="E49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K64" i="29" s="1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F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R59" i="29"/>
  <c r="H41" i="29"/>
  <c r="H42" i="29" s="1"/>
  <c r="H28" i="29" s="1"/>
  <c r="H40" i="29"/>
  <c r="H27" i="29" s="1"/>
  <c r="H38" i="29"/>
  <c r="H37" i="29"/>
  <c r="H36" i="29"/>
  <c r="X41" i="29"/>
  <c r="X42" i="29" s="1"/>
  <c r="X28" i="29" s="1"/>
  <c r="X40" i="29"/>
  <c r="X27" i="29" s="1"/>
  <c r="X38" i="29"/>
  <c r="X37" i="29"/>
  <c r="X36" i="29"/>
  <c r="Q41" i="29"/>
  <c r="Q42" i="29" s="1"/>
  <c r="Q28" i="29" s="1"/>
  <c r="Q40" i="29"/>
  <c r="Q27" i="29" s="1"/>
  <c r="Q38" i="29"/>
  <c r="Q37" i="29"/>
  <c r="Q36" i="29"/>
  <c r="J41" i="29"/>
  <c r="J42" i="29" s="1"/>
  <c r="J28" i="29" s="1"/>
  <c r="J40" i="29"/>
  <c r="J27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Q62" i="29"/>
  <c r="Q63" i="29" s="1"/>
  <c r="Q49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G55" i="29"/>
  <c r="G53" i="29"/>
  <c r="T15" i="29"/>
  <c r="L15" i="29"/>
  <c r="C38" i="32"/>
  <c r="D38" i="32" s="1"/>
  <c r="K73" i="28"/>
  <c r="AP7" i="29" s="1"/>
  <c r="S41" i="29"/>
  <c r="S42" i="29" s="1"/>
  <c r="S28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AY83" i="30"/>
  <c r="AY84" i="30"/>
  <c r="AY82" i="30"/>
  <c r="AY81" i="30"/>
  <c r="L41" i="29"/>
  <c r="L42" i="29" s="1"/>
  <c r="L28" i="29" s="1"/>
  <c r="L40" i="29"/>
  <c r="L27" i="29" s="1"/>
  <c r="L38" i="29"/>
  <c r="L37" i="29"/>
  <c r="L36" i="29"/>
  <c r="E41" i="29"/>
  <c r="E42" i="29" s="1"/>
  <c r="E28" i="29" s="1"/>
  <c r="E40" i="29"/>
  <c r="E27" i="29" s="1"/>
  <c r="E38" i="29"/>
  <c r="E37" i="29"/>
  <c r="E36" i="29"/>
  <c r="U41" i="29"/>
  <c r="U42" i="29" s="1"/>
  <c r="U28" i="29" s="1"/>
  <c r="U40" i="29"/>
  <c r="U27" i="29" s="1"/>
  <c r="U38" i="29"/>
  <c r="U37" i="29"/>
  <c r="U36" i="29"/>
  <c r="N41" i="29"/>
  <c r="N42" i="29" s="1"/>
  <c r="N28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AH194" i="31" l="1"/>
  <c r="AI194" i="31"/>
  <c r="AH194" i="28"/>
  <c r="AI194" i="28"/>
  <c r="BO82" i="30"/>
  <c r="O11" i="29"/>
  <c r="O13" i="29" s="1"/>
  <c r="BP117" i="30"/>
  <c r="AA5" i="30" s="1"/>
  <c r="AZ117" i="30"/>
  <c r="K5" i="30" s="1"/>
  <c r="AH189" i="28"/>
  <c r="AI189" i="28"/>
  <c r="AI189" i="31"/>
  <c r="T18" i="29"/>
  <c r="T22" i="29" s="1"/>
  <c r="AJ8" i="29"/>
  <c r="AI176" i="31"/>
  <c r="AI178" i="28"/>
  <c r="BA117" i="30"/>
  <c r="L5" i="30" s="1"/>
  <c r="D185" i="32"/>
  <c r="AI165" i="31"/>
  <c r="BQ117" i="30"/>
  <c r="AB5" i="30" s="1"/>
  <c r="BM117" i="30"/>
  <c r="X5" i="30" s="1"/>
  <c r="BB117" i="30"/>
  <c r="M5" i="30" s="1"/>
  <c r="BR117" i="30"/>
  <c r="AC5" i="30" s="1"/>
  <c r="AI165" i="28"/>
  <c r="AJ167" i="31"/>
  <c r="AH169" i="31"/>
  <c r="AI169" i="31"/>
  <c r="AI169" i="28"/>
  <c r="AI168" i="28"/>
  <c r="AI166" i="31"/>
  <c r="AI166" i="28"/>
  <c r="AH164" i="31"/>
  <c r="AJ168" i="28"/>
  <c r="AI167" i="28"/>
  <c r="AI164" i="31"/>
  <c r="AJ166" i="28"/>
  <c r="W11" i="29"/>
  <c r="W13" i="29" s="1"/>
  <c r="AI188" i="31"/>
  <c r="AJ186" i="28"/>
  <c r="AH186" i="28"/>
  <c r="AH173" i="28"/>
  <c r="AJ170" i="31"/>
  <c r="AI170" i="31"/>
  <c r="AJ166" i="31"/>
  <c r="AI167" i="31"/>
  <c r="AI164" i="28"/>
  <c r="AI170" i="28"/>
  <c r="AH168" i="31"/>
  <c r="AJ168" i="31"/>
  <c r="BA84" i="30"/>
  <c r="BA82" i="30"/>
  <c r="BA81" i="30"/>
  <c r="AJ175" i="28"/>
  <c r="BI117" i="30"/>
  <c r="T5" i="30" s="1"/>
  <c r="AI176" i="28"/>
  <c r="N18" i="29"/>
  <c r="Z18" i="29"/>
  <c r="Z22" i="29" s="1"/>
  <c r="J18" i="29"/>
  <c r="J22" i="29" s="1"/>
  <c r="BD117" i="30"/>
  <c r="O5" i="30" s="1"/>
  <c r="BN117" i="30"/>
  <c r="Y5" i="30" s="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X22" i="29" s="1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P22" i="29" s="1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BE85" i="30" s="1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N22" i="29"/>
  <c r="K53" i="29"/>
  <c r="BE117" i="30"/>
  <c r="P5" i="30" s="1"/>
  <c r="BC117" i="30"/>
  <c r="N5" i="30" s="1"/>
  <c r="BJ117" i="30"/>
  <c r="U5" i="30" s="1"/>
  <c r="BO81" i="30"/>
  <c r="BO85" i="30" s="1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V22" i="29" s="1"/>
  <c r="BH117" i="30"/>
  <c r="S5" i="30" s="1"/>
  <c r="E39" i="29"/>
  <c r="E43" i="29" s="1"/>
  <c r="X55" i="29"/>
  <c r="AH188" i="28"/>
  <c r="BG84" i="30"/>
  <c r="BG83" i="30"/>
  <c r="J142" i="31"/>
  <c r="C220" i="32" s="1"/>
  <c r="U64" i="29"/>
  <c r="Y64" i="29"/>
  <c r="H55" i="29"/>
  <c r="BK31" i="29"/>
  <c r="AQ6" i="29" s="1"/>
  <c r="H53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G18" i="29"/>
  <c r="G22" i="29" s="1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R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B54" i="30" s="1"/>
  <c r="C54" i="30" s="1"/>
  <c r="AO165" i="28"/>
  <c r="L39" i="29"/>
  <c r="L43" i="29" s="1"/>
  <c r="CD85" i="30"/>
  <c r="CT85" i="30"/>
  <c r="DF85" i="30"/>
  <c r="DN85" i="30"/>
  <c r="DV85" i="30"/>
  <c r="AV85" i="30"/>
  <c r="BD85" i="30"/>
  <c r="BL85" i="30"/>
  <c r="DO85" i="30"/>
  <c r="C41" i="32"/>
  <c r="D41" i="32" s="1"/>
  <c r="AE33" i="29"/>
  <c r="Q60" i="29"/>
  <c r="Q64" i="29" s="1"/>
  <c r="C132" i="32"/>
  <c r="D132" i="32" s="1"/>
  <c r="Q39" i="29"/>
  <c r="Q43" i="29" s="1"/>
  <c r="DT85" i="30"/>
  <c r="AH164" i="28"/>
  <c r="AF228" i="28"/>
  <c r="AX85" i="30"/>
  <c r="BN85" i="30"/>
  <c r="U55" i="29"/>
  <c r="U53" i="29"/>
  <c r="C90" i="32"/>
  <c r="B51" i="30"/>
  <c r="C51" i="30" s="1"/>
  <c r="K33" i="28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C191" i="32" l="1"/>
  <c r="B109" i="30"/>
  <c r="B112" i="30" s="1"/>
  <c r="BJ85" i="30"/>
  <c r="B81" i="30"/>
  <c r="F81" i="30" s="1"/>
  <c r="B114" i="30" s="1"/>
  <c r="B126" i="30" s="1"/>
  <c r="F76" i="30"/>
  <c r="T245" i="31"/>
  <c r="F75" i="30"/>
  <c r="F77" i="30"/>
  <c r="C276" i="32"/>
  <c r="D243" i="32"/>
  <c r="C71" i="32"/>
  <c r="C74" i="32" s="1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6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AH228" i="28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F54" i="30"/>
  <c r="C266" i="32" s="1"/>
  <c r="C246" i="32"/>
  <c r="C86" i="32"/>
  <c r="W154" i="31"/>
  <c r="Y154" i="31" s="1"/>
  <c r="Z154" i="31" s="1"/>
  <c r="B159" i="31" s="1"/>
  <c r="J159" i="31" s="1"/>
  <c r="C231" i="32" s="1"/>
  <c r="C87" i="32"/>
  <c r="W155" i="31"/>
  <c r="Y155" i="31" s="1"/>
  <c r="Z155" i="31" s="1"/>
  <c r="B160" i="31" s="1"/>
  <c r="J160" i="31" s="1"/>
  <c r="C232" i="32" s="1"/>
  <c r="F56" i="30"/>
  <c r="C268" i="32" s="1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275" i="32" l="1"/>
  <c r="D275" i="32" s="1"/>
  <c r="D191" i="32"/>
  <c r="C244" i="32"/>
  <c r="D244" i="32" s="1"/>
  <c r="C277" i="32"/>
  <c r="D277" i="32" s="1"/>
  <c r="C193" i="32"/>
  <c r="D193" i="32" s="1"/>
  <c r="X245" i="31"/>
  <c r="C189" i="32"/>
  <c r="D189" i="32" s="1"/>
  <c r="AK189" i="32" s="1"/>
  <c r="AO189" i="32" s="1"/>
  <c r="AO192" i="32" s="1"/>
  <c r="B113" i="30"/>
  <c r="B125" i="30" s="1"/>
  <c r="C278" i="32"/>
  <c r="B155" i="31"/>
  <c r="I155" i="31" s="1"/>
  <c r="B149" i="31"/>
  <c r="J149" i="31" s="1"/>
  <c r="C222" i="32" s="1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AB13" i="30" s="1"/>
  <c r="CF102" i="30"/>
  <c r="K10" i="30" s="1"/>
  <c r="B58" i="30"/>
  <c r="C58" i="30" s="1"/>
  <c r="DM102" i="30"/>
  <c r="O11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O13" i="30" l="1"/>
  <c r="C291" i="32"/>
  <c r="C293" i="32"/>
  <c r="D278" i="32"/>
  <c r="AL209" i="32"/>
  <c r="AL208" i="32"/>
  <c r="J141" i="31"/>
  <c r="C219" i="32" s="1"/>
  <c r="X248" i="31"/>
  <c r="C290" i="32"/>
  <c r="L13" i="30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D291" i="32" l="1"/>
  <c r="D293" i="32"/>
  <c r="C236" i="32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M68" i="32"/>
  <c r="BM79" i="32" s="1"/>
  <c r="BI68" i="32"/>
  <c r="BI79" i="32" s="1"/>
  <c r="BE68" i="32"/>
  <c r="BE79" i="32" s="1"/>
  <c r="BA68" i="32"/>
  <c r="AW68" i="32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I66" i="32"/>
  <c r="BI153" i="32" s="1"/>
  <c r="BI160" i="32" s="1"/>
  <c r="BI161" i="32" s="1"/>
  <c r="BI162" i="32" s="1"/>
  <c r="BE66" i="32"/>
  <c r="BE153" i="32" s="1"/>
  <c r="BE160" i="32" s="1"/>
  <c r="BE161" i="32" s="1"/>
  <c r="BE162" i="32" s="1"/>
  <c r="BA66" i="32"/>
  <c r="BA153" i="32" s="1"/>
  <c r="AW66" i="32"/>
  <c r="AW153" i="32" s="1"/>
  <c r="BQ65" i="32"/>
  <c r="BQ152" i="32" s="1"/>
  <c r="BM65" i="32"/>
  <c r="BM152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L68" i="32"/>
  <c r="BL79" i="32" s="1"/>
  <c r="BH68" i="32"/>
  <c r="BH79" i="32" s="1"/>
  <c r="BD68" i="32"/>
  <c r="BD79" i="32" s="1"/>
  <c r="AZ68" i="32"/>
  <c r="AV68" i="32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154" i="32" s="1"/>
  <c r="BP66" i="32"/>
  <c r="BP153" i="32" s="1"/>
  <c r="BL66" i="32"/>
  <c r="BL153" i="32" s="1"/>
  <c r="BH66" i="32"/>
  <c r="BH153" i="32" s="1"/>
  <c r="BH160" i="32" s="1"/>
  <c r="BH161" i="32" s="1"/>
  <c r="BH162" i="32" s="1"/>
  <c r="BD66" i="32"/>
  <c r="BD153" i="32" s="1"/>
  <c r="BD160" i="32" s="1"/>
  <c r="BD161" i="32" s="1"/>
  <c r="BD162" i="32" s="1"/>
  <c r="AZ66" i="32"/>
  <c r="AZ153" i="32" s="1"/>
  <c r="AV66" i="32"/>
  <c r="AV153" i="32" s="1"/>
  <c r="BP65" i="32"/>
  <c r="BP152" i="32" s="1"/>
  <c r="BL65" i="32"/>
  <c r="BL152" i="32" s="1"/>
  <c r="BH65" i="32"/>
  <c r="BH76" i="32" s="1"/>
  <c r="BD65" i="32"/>
  <c r="BD76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75" i="32" s="1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O68" i="32"/>
  <c r="BK68" i="32"/>
  <c r="BK79" i="32" s="1"/>
  <c r="BG68" i="32"/>
  <c r="BG79" i="32" s="1"/>
  <c r="BC68" i="32"/>
  <c r="AY68" i="32"/>
  <c r="BS67" i="32"/>
  <c r="BS154" i="32" s="1"/>
  <c r="BO67" i="32"/>
  <c r="BO78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151" i="32" s="1"/>
  <c r="BO64" i="32"/>
  <c r="BK64" i="32"/>
  <c r="BK75" i="32" s="1"/>
  <c r="BG64" i="32"/>
  <c r="BG75" i="32" s="1"/>
  <c r="BC64" i="32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N68" i="32"/>
  <c r="BJ68" i="32"/>
  <c r="BJ79" i="32" s="1"/>
  <c r="BF68" i="32"/>
  <c r="BF79" i="32" s="1"/>
  <c r="BB68" i="32"/>
  <c r="AX68" i="32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152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J64" i="32"/>
  <c r="BJ75" i="32" s="1"/>
  <c r="BF64" i="32"/>
  <c r="BF75" i="32" s="1"/>
  <c r="BB64" i="32"/>
  <c r="AX64" i="32"/>
  <c r="AX151" i="32" s="1"/>
  <c r="L209" i="32"/>
  <c r="K256" i="32"/>
  <c r="L256" i="32" s="1"/>
  <c r="K257" i="32"/>
  <c r="L257" i="32" s="1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BB79" i="32" l="1"/>
  <c r="BB136" i="32" s="1"/>
  <c r="BB155" i="32"/>
  <c r="BQ79" i="32"/>
  <c r="BQ155" i="32"/>
  <c r="BQ160" i="32" s="1"/>
  <c r="BQ161" i="32" s="1"/>
  <c r="BQ162" i="32" s="1"/>
  <c r="BC75" i="32"/>
  <c r="BC132" i="32" s="1"/>
  <c r="BC151" i="32"/>
  <c r="BC79" i="32"/>
  <c r="BC136" i="32" s="1"/>
  <c r="BC155" i="32"/>
  <c r="BN75" i="32"/>
  <c r="BN121" i="32" s="1"/>
  <c r="BN167" i="32" s="1"/>
  <c r="BN151" i="32"/>
  <c r="BN79" i="32"/>
  <c r="BN155" i="32"/>
  <c r="AW79" i="32"/>
  <c r="AW136" i="32" s="1"/>
  <c r="AW155" i="32"/>
  <c r="AW160" i="32" s="1"/>
  <c r="AW161" i="32" s="1"/>
  <c r="AW162" i="32" s="1"/>
  <c r="AY79" i="32"/>
  <c r="AY136" i="32" s="1"/>
  <c r="AY155" i="32"/>
  <c r="AY160" i="32" s="1"/>
  <c r="AY161" i="32" s="1"/>
  <c r="AY162" i="32" s="1"/>
  <c r="BR79" i="32"/>
  <c r="BR136" i="32" s="1"/>
  <c r="BR155" i="32"/>
  <c r="BR160" i="32" s="1"/>
  <c r="BR161" i="32" s="1"/>
  <c r="BR162" i="32" s="1"/>
  <c r="BO75" i="32"/>
  <c r="BO151" i="32"/>
  <c r="BO79" i="32"/>
  <c r="BO125" i="32" s="1"/>
  <c r="BO171" i="32" s="1"/>
  <c r="BO155" i="32"/>
  <c r="BP79" i="32"/>
  <c r="BP136" i="32" s="1"/>
  <c r="BP155" i="32"/>
  <c r="BP160" i="32" s="1"/>
  <c r="BP161" i="32" s="1"/>
  <c r="BP162" i="32" s="1"/>
  <c r="BA79" i="32"/>
  <c r="BA125" i="32" s="1"/>
  <c r="BA171" i="32" s="1"/>
  <c r="BA155" i="32"/>
  <c r="BA160" i="32" s="1"/>
  <c r="BA161" i="32" s="1"/>
  <c r="BA162" i="32" s="1"/>
  <c r="AZ79" i="32"/>
  <c r="AZ155" i="32"/>
  <c r="AZ160" i="32" s="1"/>
  <c r="AZ161" i="32" s="1"/>
  <c r="AZ162" i="32" s="1"/>
  <c r="BS79" i="32"/>
  <c r="BS136" i="32" s="1"/>
  <c r="BS155" i="32"/>
  <c r="BS160" i="32" s="1"/>
  <c r="BS161" i="32" s="1"/>
  <c r="BS162" i="32" s="1"/>
  <c r="BB75" i="32"/>
  <c r="BB132" i="32" s="1"/>
  <c r="BB151" i="32"/>
  <c r="AX79" i="32"/>
  <c r="AX136" i="32" s="1"/>
  <c r="AX155" i="32"/>
  <c r="AX160" i="32" s="1"/>
  <c r="AX161" i="32" s="1"/>
  <c r="AX162" i="32" s="1"/>
  <c r="AV79" i="32"/>
  <c r="AV155" i="32"/>
  <c r="AV160" i="32" s="1"/>
  <c r="AV161" i="32" s="1"/>
  <c r="AV162" i="32" s="1"/>
  <c r="AY76" i="32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AZ134" i="32" s="1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A132" i="32" s="1"/>
  <c r="BR77" i="32"/>
  <c r="BR123" i="32" s="1"/>
  <c r="BR169" i="32" s="1"/>
  <c r="BP75" i="32"/>
  <c r="BP132" i="32" s="1"/>
  <c r="BO77" i="32"/>
  <c r="BO123" i="32" s="1"/>
  <c r="BO169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L160" i="32"/>
  <c r="BL161" i="32" s="1"/>
  <c r="BL162" i="32" s="1"/>
  <c r="BM160" i="32"/>
  <c r="BM161" i="32" s="1"/>
  <c r="BM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AX133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DT121" i="32"/>
  <c r="DT167" i="32" s="1"/>
  <c r="DT132" i="32"/>
  <c r="DG136" i="32"/>
  <c r="DG125" i="32"/>
  <c r="DG171" i="32" s="1"/>
  <c r="CN130" i="32"/>
  <c r="CN176" i="32" s="1"/>
  <c r="CN141" i="32"/>
  <c r="BH135" i="32"/>
  <c r="BH124" i="32"/>
  <c r="BH170" i="32" s="1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BR135" i="32"/>
  <c r="BR124" i="32"/>
  <c r="BR170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BN124" i="32"/>
  <c r="BN170" i="32" s="1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BK132" i="32"/>
  <c r="BK121" i="32"/>
  <c r="BK167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BE135" i="32"/>
  <c r="BE124" i="32"/>
  <c r="BE170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BL132" i="32"/>
  <c r="BL121" i="32"/>
  <c r="BL167" i="32" s="1"/>
  <c r="CN121" i="32"/>
  <c r="CN167" i="32" s="1"/>
  <c r="CN132" i="32"/>
  <c r="DN132" i="32"/>
  <c r="DN121" i="32"/>
  <c r="DN167" i="32" s="1"/>
  <c r="BC122" i="32"/>
  <c r="BC168" i="32" s="1"/>
  <c r="BC133" i="32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BL124" i="32"/>
  <c r="BL170" i="32" s="1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BD133" i="32"/>
  <c r="BD122" i="32"/>
  <c r="BD168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BD132" i="32"/>
  <c r="BD121" i="32"/>
  <c r="BD167" i="32" s="1"/>
  <c r="CL132" i="32"/>
  <c r="CL121" i="32"/>
  <c r="CL167" i="32" s="1"/>
  <c r="DK132" i="32"/>
  <c r="DK121" i="32"/>
  <c r="DK167" i="32" s="1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BQ136" i="32"/>
  <c r="BQ125" i="32"/>
  <c r="BQ171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CQ133" i="32"/>
  <c r="CQ122" i="32"/>
  <c r="CQ168" i="32" s="1"/>
  <c r="DV134" i="32"/>
  <c r="DV123" i="32"/>
  <c r="DV169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BH132" i="32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BI132" i="32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25" i="32"/>
  <c r="AV171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BG133" i="32"/>
  <c r="BG122" i="32"/>
  <c r="BG168" i="32" s="1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BP135" i="32"/>
  <c r="BP124" i="32"/>
  <c r="BP170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BB135" i="32"/>
  <c r="BB124" i="32"/>
  <c r="BB170" i="32" s="1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BK122" i="32"/>
  <c r="BK168" i="32" s="1"/>
  <c r="BK133" i="32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BI135" i="32"/>
  <c r="BI124" i="32"/>
  <c r="BI170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BE121" i="32"/>
  <c r="BE167" i="32" s="1"/>
  <c r="BE132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Z135" i="32"/>
  <c r="AZ124" i="32"/>
  <c r="AZ170" i="32" s="1"/>
  <c r="CB135" i="32"/>
  <c r="CB124" i="32"/>
  <c r="CB170" i="32" s="1"/>
  <c r="CW135" i="32"/>
  <c r="CW124" i="32"/>
  <c r="CW170" i="32" s="1"/>
  <c r="DW135" i="32"/>
  <c r="DW124" i="32"/>
  <c r="DW170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BG132" i="32"/>
  <c r="BG121" i="32"/>
  <c r="BG167" i="32" s="1"/>
  <c r="CI132" i="32"/>
  <c r="CI121" i="32"/>
  <c r="CI167" i="32" s="1"/>
  <c r="DH121" i="32"/>
  <c r="DH167" i="32" s="1"/>
  <c r="DH132" i="32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25" i="32"/>
  <c r="BB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N132" i="32" l="1"/>
  <c r="AX125" i="32"/>
  <c r="AX171" i="32" s="1"/>
  <c r="BA136" i="32"/>
  <c r="BR125" i="32"/>
  <c r="BR171" i="32" s="1"/>
  <c r="BB160" i="32"/>
  <c r="BB161" i="32" s="1"/>
  <c r="BB162" i="32" s="1"/>
  <c r="BO136" i="32"/>
  <c r="BN160" i="32"/>
  <c r="BN161" i="32" s="1"/>
  <c r="BN162" i="32" s="1"/>
  <c r="BO160" i="32"/>
  <c r="BO161" i="32" s="1"/>
  <c r="BO162" i="32" s="1"/>
  <c r="BP125" i="32"/>
  <c r="BP171" i="32" s="1"/>
  <c r="BC125" i="32"/>
  <c r="BC171" i="32" s="1"/>
  <c r="AY125" i="32"/>
  <c r="AY171" i="32" s="1"/>
  <c r="BS125" i="32"/>
  <c r="BS171" i="32" s="1"/>
  <c r="BC121" i="32"/>
  <c r="BC167" i="32" s="1"/>
  <c r="AW125" i="32"/>
  <c r="AW171" i="32" s="1"/>
  <c r="BA121" i="32"/>
  <c r="BA167" i="32" s="1"/>
  <c r="BC160" i="32"/>
  <c r="BC161" i="32" s="1"/>
  <c r="BC162" i="32" s="1"/>
  <c r="BB121" i="32"/>
  <c r="BB167" i="32" s="1"/>
  <c r="AX122" i="32"/>
  <c r="AX168" i="32" s="1"/>
  <c r="AZ133" i="32"/>
  <c r="AZ123" i="32"/>
  <c r="AZ169" i="32" s="1"/>
  <c r="AZ178" i="32" s="1"/>
  <c r="BR121" i="32"/>
  <c r="BR167" i="32" s="1"/>
  <c r="BJ123" i="32"/>
  <c r="BJ169" i="32" s="1"/>
  <c r="BJ178" i="32" s="1"/>
  <c r="BG123" i="32"/>
  <c r="BG169" i="32" s="1"/>
  <c r="BG178" i="32" s="1"/>
  <c r="BI123" i="32"/>
  <c r="BI169" i="32" s="1"/>
  <c r="BI178" i="32" s="1"/>
  <c r="AY133" i="32"/>
  <c r="AY145" i="32" s="1"/>
  <c r="BB122" i="32"/>
  <c r="BB16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BH178" i="32" s="1"/>
  <c r="AY124" i="32"/>
  <c r="AY170" i="32" s="1"/>
  <c r="BO134" i="32"/>
  <c r="T208" i="32"/>
  <c r="X209" i="32" s="1"/>
  <c r="Z209" i="32" s="1"/>
  <c r="D207" i="32"/>
  <c r="BL123" i="32"/>
  <c r="BL169" i="32" s="1"/>
  <c r="BL178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K144" i="32" s="1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BE145" i="32"/>
  <c r="BE143" i="32"/>
  <c r="BE144" i="32"/>
  <c r="BE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BC144" i="32"/>
  <c r="BC142" i="32"/>
  <c r="BC143" i="32"/>
  <c r="BC145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BG144" i="32"/>
  <c r="BG142" i="32"/>
  <c r="BG145" i="32"/>
  <c r="BG143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BP144" i="32"/>
  <c r="BP142" i="32"/>
  <c r="BP145" i="32"/>
  <c r="BP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A145" i="32" l="1"/>
  <c r="BO144" i="32"/>
  <c r="BB178" i="32"/>
  <c r="BR178" i="32"/>
  <c r="AZ143" i="32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BE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P146" i="32"/>
  <c r="BH146" i="32"/>
  <c r="BG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AY146" i="32" l="1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BG148" i="32"/>
  <c r="BG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Y147" i="32" l="1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D124" i="31" s="1"/>
  <c r="J124" i="31" s="1"/>
  <c r="AC8" i="31"/>
  <c r="E13" i="23"/>
  <c r="F50" i="23" s="1"/>
  <c r="A82" i="31"/>
  <c r="AC9" i="31"/>
  <c r="A125" i="31"/>
  <c r="D125" i="31" s="1"/>
  <c r="J125" i="31" s="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U14" i="22"/>
  <c r="C25" i="22" s="1"/>
  <c r="CC103" i="31"/>
  <c r="D96" i="31" s="1"/>
  <c r="K96" i="31" s="1"/>
  <c r="J96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K19" i="18" s="1"/>
  <c r="AM20" i="18" l="1"/>
  <c r="AW20" i="18"/>
  <c r="AW54" i="18" s="1"/>
  <c r="AP19" i="18"/>
  <c r="AM19" i="18"/>
  <c r="AL19" i="18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CE102" i="31"/>
  <c r="F95" i="31" s="1"/>
  <c r="M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L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AP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AR25" i="18" s="1"/>
  <c r="AR54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AL23" i="18" l="1"/>
  <c r="AX23" i="18"/>
  <c r="AX54" i="18" s="1"/>
  <c r="C84" i="32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C102" i="31" l="1"/>
  <c r="D95" i="31" s="1"/>
  <c r="K95" i="31" s="1"/>
  <c r="J95" i="31" s="1"/>
  <c r="T14" i="22"/>
  <c r="C24" i="22" s="1"/>
  <c r="AM54" i="18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AL28" i="18" l="1"/>
  <c r="AL54" i="18" s="1"/>
  <c r="CC90" i="31" s="1"/>
  <c r="BA28" i="18"/>
  <c r="BA54" i="18" s="1"/>
  <c r="CC91" i="3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K13" i="31"/>
  <c r="AF138" i="31"/>
  <c r="AF140" i="31" s="1"/>
  <c r="F39" i="30"/>
  <c r="C260" i="32"/>
  <c r="B99" i="30"/>
  <c r="G148" i="32"/>
  <c r="AF129" i="31"/>
  <c r="AF131" i="31" s="1"/>
  <c r="K10" i="3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W14" i="22" l="1"/>
  <c r="C27" i="22" s="1"/>
  <c r="CC105" i="31"/>
  <c r="D98" i="31" s="1"/>
  <c r="K98" i="31" s="1"/>
  <c r="J98" i="31" s="1"/>
  <c r="AC89" i="31"/>
  <c r="AC94" i="31" s="1"/>
  <c r="BY90" i="31" s="1"/>
  <c r="D83" i="31" s="1"/>
  <c r="K83" i="31" s="1"/>
  <c r="AB89" i="31"/>
  <c r="AB94" i="31" s="1"/>
  <c r="BY89" i="31" s="1"/>
  <c r="AH147" i="3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284" i="32" s="1"/>
  <c r="C199" i="32"/>
  <c r="D199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AD41" i="31" l="1"/>
  <c r="J45" i="31" s="1"/>
  <c r="C209" i="32" s="1"/>
  <c r="C211" i="32" s="1"/>
  <c r="Y207" i="32"/>
  <c r="Z207" i="32" s="1"/>
  <c r="Y208" i="32"/>
  <c r="Z208" i="32" s="1"/>
  <c r="C159" i="32"/>
  <c r="D159" i="32" s="1"/>
  <c r="D153" i="32"/>
  <c r="K33" i="7"/>
  <c r="L33" i="7" s="1"/>
  <c r="N33" i="7"/>
  <c r="Z210" i="32" l="1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M35" i="7"/>
  <c r="M30" i="7"/>
  <c r="M29" i="7"/>
  <c r="M31" i="7"/>
  <c r="M32" i="7"/>
  <c r="M25" i="7"/>
  <c r="U25" i="7" s="1"/>
  <c r="V3" i="7"/>
  <c r="M27" i="7"/>
  <c r="U27" i="7" s="1"/>
  <c r="M34" i="7"/>
  <c r="V22" i="7"/>
  <c r="M26" i="7"/>
  <c r="U26" i="7" s="1"/>
  <c r="M37" i="7"/>
  <c r="V24" i="7" l="1"/>
  <c r="V16" i="7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U28" i="7" s="1"/>
  <c r="V28" i="7" l="1"/>
  <c r="T28" i="7"/>
  <c r="BG31" i="29"/>
  <c r="S64" i="7"/>
  <c r="AA18" i="7" s="1"/>
  <c r="S28" i="7"/>
  <c r="R28" i="7"/>
  <c r="R64" i="7" s="1"/>
  <c r="BI31" i="29" l="1"/>
  <c r="AP5" i="29" s="1"/>
  <c r="AP3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Q14" i="22" l="1"/>
  <c r="C21" i="22" s="1"/>
  <c r="CC99" i="31"/>
  <c r="D92" i="31" s="1"/>
  <c r="K92" i="31" s="1"/>
  <c r="J92" i="31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76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76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L185" i="18" l="1"/>
  <c r="L216" i="18" s="1"/>
  <c r="Q6" i="22" s="1"/>
  <c r="BC16" i="23" s="1"/>
  <c r="BC27" i="23" s="1"/>
  <c r="W163" i="18"/>
  <c r="W172" i="18" s="1"/>
  <c r="W215" i="18" s="1"/>
  <c r="AB5" i="22" s="1"/>
  <c r="BN15" i="23" s="1"/>
  <c r="BN21" i="23" s="1"/>
  <c r="W176" i="18"/>
  <c r="V163" i="18"/>
  <c r="V172" i="18" s="1"/>
  <c r="V215" i="18" s="1"/>
  <c r="AA5" i="22" s="1"/>
  <c r="BM15" i="23" s="1"/>
  <c r="BM21" i="23" s="1"/>
  <c r="V176" i="18"/>
  <c r="X163" i="18"/>
  <c r="X172" i="18" s="1"/>
  <c r="X215" i="18" s="1"/>
  <c r="AC5" i="22" s="1"/>
  <c r="BO15" i="23" s="1"/>
  <c r="BO21" i="23" s="1"/>
  <c r="X176" i="18"/>
  <c r="Y163" i="18"/>
  <c r="Y172" i="18" s="1"/>
  <c r="Y215" i="18" s="1"/>
  <c r="AD5" i="22" s="1"/>
  <c r="BP15" i="23" s="1"/>
  <c r="BP21" i="23" s="1"/>
  <c r="Y176" i="18"/>
  <c r="H163" i="18"/>
  <c r="H176" i="18"/>
  <c r="H185" i="18"/>
  <c r="H216" i="18" s="1"/>
  <c r="M6" i="22" s="1"/>
  <c r="AY16" i="23" s="1"/>
  <c r="AY27" i="23" s="1"/>
  <c r="D163" i="18"/>
  <c r="D176" i="18"/>
  <c r="D185" i="18" s="1"/>
  <c r="D216" i="18" s="1"/>
  <c r="I6" i="22" s="1"/>
  <c r="AU16" i="23" s="1"/>
  <c r="AU29" i="23" s="1"/>
  <c r="E163" i="18"/>
  <c r="E176" i="18"/>
  <c r="E185" i="18" s="1"/>
  <c r="E216" i="18" s="1"/>
  <c r="J6" i="22" s="1"/>
  <c r="AV16" i="23" s="1"/>
  <c r="AV29" i="23" s="1"/>
  <c r="F163" i="18"/>
  <c r="F176" i="18"/>
  <c r="F185" i="18" s="1"/>
  <c r="F216" i="18" s="1"/>
  <c r="K6" i="22" s="1"/>
  <c r="AW16" i="23" s="1"/>
  <c r="AW29" i="23" s="1"/>
  <c r="C163" i="18"/>
  <c r="C176" i="18"/>
  <c r="C185" i="18" s="1"/>
  <c r="C216" i="18" s="1"/>
  <c r="H6" i="22" s="1"/>
  <c r="AT16" i="23" s="1"/>
  <c r="AT29" i="23" s="1"/>
  <c r="G163" i="18"/>
  <c r="G176" i="18"/>
  <c r="G185" i="18" s="1"/>
  <c r="G216" i="18" s="1"/>
  <c r="L6" i="22" s="1"/>
  <c r="AX16" i="23" s="1"/>
  <c r="AX29" i="23" s="1"/>
  <c r="R163" i="18"/>
  <c r="R176" i="18"/>
  <c r="U163" i="18"/>
  <c r="U176" i="18"/>
  <c r="T163" i="18"/>
  <c r="T176" i="18"/>
  <c r="S163" i="18"/>
  <c r="S176" i="18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162" i="18" s="1"/>
  <c r="R172" i="18" s="1"/>
  <c r="R215" i="18" s="1"/>
  <c r="B151" i="18"/>
  <c r="B177" i="18" s="1"/>
  <c r="AA138" i="18"/>
  <c r="H136" i="18"/>
  <c r="H149" i="18" s="1"/>
  <c r="H162" i="18" s="1"/>
  <c r="H172" i="18" s="1"/>
  <c r="H215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62" i="18" s="1"/>
  <c r="O120" i="18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62" i="18" s="1"/>
  <c r="P120" i="18"/>
  <c r="B143" i="18"/>
  <c r="AA143" i="18" s="1"/>
  <c r="Q136" i="18"/>
  <c r="Q149" i="18" s="1"/>
  <c r="Q162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L172" i="18" l="1"/>
  <c r="L215" i="18" s="1"/>
  <c r="M172" i="18"/>
  <c r="M215" i="18" s="1"/>
  <c r="X185" i="18"/>
  <c r="X216" i="18" s="1"/>
  <c r="AC6" i="22" s="1"/>
  <c r="BO16" i="23" s="1"/>
  <c r="BO29" i="23" s="1"/>
  <c r="F172" i="18"/>
  <c r="F215" i="18" s="1"/>
  <c r="E172" i="18"/>
  <c r="E215" i="18" s="1"/>
  <c r="Y185" i="18"/>
  <c r="Y216" i="18" s="1"/>
  <c r="AD6" i="22" s="1"/>
  <c r="BP16" i="23" s="1"/>
  <c r="BP29" i="23" s="1"/>
  <c r="D172" i="18"/>
  <c r="D215" i="18" s="1"/>
  <c r="I5" i="22" s="1"/>
  <c r="T185" i="18"/>
  <c r="T216" i="18" s="1"/>
  <c r="Y6" i="22" s="1"/>
  <c r="BK16" i="23" s="1"/>
  <c r="BK29" i="23" s="1"/>
  <c r="O201" i="18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J13" i="31"/>
  <c r="L9" i="31"/>
  <c r="AG126" i="31"/>
  <c r="AG128" i="31" s="1"/>
  <c r="J9" i="31"/>
  <c r="AG129" i="31"/>
  <c r="AG131" i="31" s="1"/>
  <c r="L10" i="31"/>
  <c r="J10" i="31"/>
  <c r="D258" i="32"/>
  <c r="D282" i="32" s="1"/>
  <c r="D287" i="32" s="1"/>
  <c r="C282" i="32"/>
  <c r="C287" i="32" s="1"/>
  <c r="C292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R5" i="22"/>
  <c r="AC8" i="22"/>
  <c r="BO5" i="23" s="1"/>
  <c r="BO9" i="23" s="1"/>
  <c r="M5" i="22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AD8" i="22" l="1"/>
  <c r="BP5" i="23" s="1"/>
  <c r="BP9" i="23" s="1"/>
  <c r="C294" i="32"/>
  <c r="B163" i="18"/>
  <c r="B176" i="18"/>
  <c r="B185" i="18" s="1"/>
  <c r="B216" i="18" s="1"/>
  <c r="G6" i="22" s="1"/>
  <c r="AS16" i="23" s="1"/>
  <c r="AS29" i="23" s="1"/>
  <c r="BR29" i="23" s="1"/>
  <c r="F83" i="23" s="1"/>
  <c r="F85" i="23" s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/>
  <c r="AF5" i="22" s="1"/>
  <c r="AG147" i="31" l="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C194" i="32"/>
  <c r="J48" i="31"/>
  <c r="B174" i="31" s="1"/>
  <c r="B180" i="31" l="1"/>
  <c r="B181" i="31" s="1"/>
  <c r="B175" i="31"/>
  <c r="D194" i="32"/>
  <c r="C237" i="32"/>
  <c r="C241" i="32" l="1"/>
  <c r="C238" i="32"/>
  <c r="C242" i="32" l="1"/>
  <c r="L64" i="7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U64" i="7"/>
  <c r="BC3" i="29"/>
  <c r="AK26" i="29" l="1"/>
  <c r="C184" i="32" s="1"/>
  <c r="D184" i="32" l="1"/>
  <c r="D183" i="32" s="1"/>
  <c r="D192" i="32" s="1"/>
  <c r="D235" i="32" s="1"/>
  <c r="D236" i="32" s="1"/>
  <c r="D276" i="32" l="1"/>
  <c r="D290" i="32" s="1"/>
  <c r="D292" i="32" s="1"/>
  <c r="D294" i="32" s="1"/>
  <c r="AJ216" i="32"/>
  <c r="AN216" i="32" s="1"/>
  <c r="D220" i="32" s="1"/>
  <c r="D221" i="32" s="1"/>
  <c r="D237" i="32" s="1"/>
  <c r="D238" i="32" s="1"/>
  <c r="AK225" i="32"/>
  <c r="AO225" i="32" s="1"/>
  <c r="AO228" i="32" s="1"/>
  <c r="AR228" i="32" s="1"/>
  <c r="AS228" i="32" s="1"/>
  <c r="AT228" i="32" s="1"/>
  <c r="AW228" i="32" s="1"/>
  <c r="D240" i="32" s="1"/>
  <c r="D241" i="32" l="1"/>
  <c r="D242" i="32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<sst xmlns="http://schemas.openxmlformats.org/spreadsheetml/2006/main" count="2966" uniqueCount="1451">
  <si>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</si>
  <si>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</si>
  <si>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</si>
  <si>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</si>
  <si>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</si>
  <si>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</si>
  <si>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</si>
  <si>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</si>
  <si>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</si>
  <si>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</si>
  <si>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</si>
  <si>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</si>
  <si>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</si>
  <si>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</si>
  <si>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</si>
  <si>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</si>
  <si>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</si>
  <si>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</si>
  <si>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</si>
  <si>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</si>
  <si>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</si>
  <si>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</si>
  <si>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</si>
  <si>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</si>
  <si>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</si>
  <si>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</si>
  <si>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</si>
  <si>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</si>
  <si>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</si>
  <si>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</si>
  <si>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</si>
  <si>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</si>
  <si>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</si>
  <si>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</si>
  <si>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</si>
  <si>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</si>
  <si>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</si>
  <si>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</si>
  <si>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</si>
  <si>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</si>
  <si>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</si>
  <si>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</si>
  <si>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</si>
  <si>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</si>
  <si>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</si>
  <si>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</si>
  <si>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</si>
  <si>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</si>
  <si>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</si>
  <si>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</si>
  <si>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</si>
  <si>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</si>
  <si>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</si>
  <si>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</si>
  <si>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</si>
  <si>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</si>
  <si>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</si>
  <si>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</si>
  <si>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</si>
  <si>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</si>
  <si>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</si>
  <si>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</si>
  <si>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</si>
  <si>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</si>
  <si>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</si>
  <si>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</si>
  <si>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</si>
  <si>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</si>
  <si>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</si>
  <si>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</si>
  <si>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</si>
  <si>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</si>
  <si>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</si>
  <si>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</si>
  <si>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</si>
  <si>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</si>
  <si>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</si>
  <si>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</si>
  <si>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</si>
  <si>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</si>
  <si>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</si>
  <si>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</si>
  <si>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</si>
  <si>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</si>
  <si>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</si>
  <si>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</si>
  <si>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</si>
  <si>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</si>
  <si>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</si>
  <si>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</si>
  <si>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</si>
  <si>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</si>
  <si>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</si>
  <si>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</si>
  <si>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</si>
  <si>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</si>
  <si>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</si>
  <si>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</si>
  <si>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</si>
  <si>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</si>
  <si>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</si>
  <si>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</si>
  <si>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</si>
  <si>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</si>
  <si>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</si>
  <si>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</si>
  <si>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</si>
  <si>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</si>
  <si>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</si>
  <si>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</si>
  <si>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</si>
  <si>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</si>
  <si>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</si>
  <si>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</si>
  <si>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</si>
  <si>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</si>
  <si>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</si>
  <si>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</si>
  <si>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</si>
  <si>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</si>
  <si>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</si>
  <si>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</si>
  <si>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</si>
  <si>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</si>
  <si>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</si>
  <si>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</si>
  <si>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</si>
  <si>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</si>
  <si>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</si>
  <si>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</si>
  <si>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</si>
  <si>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</si>
  <si>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</si>
  <si>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</si>
  <si>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</si>
  <si>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</si>
  <si>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</si>
  <si>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</si>
  <si>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</si>
  <si>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</si>
  <si>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</si>
  <si>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</si>
  <si>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</si>
  <si>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</si>
  <si>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</si>
  <si>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</si>
  <si>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</si>
  <si>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</si>
  <si>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</si>
  <si>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</si>
  <si>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</si>
  <si>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</si>
  <si>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</si>
  <si>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</si>
  <si>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</si>
  <si>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</si>
  <si>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</si>
  <si>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</si>
  <si>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</si>
  <si>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</si>
  <si>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</si>
  <si>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</si>
  <si>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</si>
  <si>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</si>
  <si>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</si>
  <si>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</si>
  <si>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</si>
  <si>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</si>
  <si>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</si>
  <si>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</si>
  <si>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</si>
  <si>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</si>
  <si>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</si>
  <si>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</si>
  <si>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</si>
  <si>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</si>
  <si>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</si>
  <si>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</si>
  <si>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</si>
  <si>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</si>
  <si>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</si>
  <si>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</si>
  <si>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</si>
  <si>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</si>
  <si>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</si>
  <si>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</si>
  <si>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</si>
  <si>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</si>
  <si>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</si>
  <si>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</si>
  <si>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</si>
  <si>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</si>
  <si>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</si>
  <si>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</si>
  <si>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</si>
  <si>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</si>
  <si>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</si>
  <si>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</si>
  <si>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</si>
  <si>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</si>
  <si>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</si>
  <si>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</si>
  <si>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</si>
  <si>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</si>
  <si>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</si>
  <si>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</si>
  <si>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</si>
  <si>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</si>
  <si>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</si>
  <si>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</si>
  <si>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</si>
  <si>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</si>
  <si>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</si>
  <si>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</si>
  <si>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</si>
  <si>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</si>
  <si>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</si>
  <si>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</si>
  <si>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</si>
  <si>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</si>
  <si>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</si>
  <si>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</si>
  <si>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</si>
  <si>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</si>
  <si>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</si>
  <si>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</si>
  <si>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</si>
  <si>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</si>
  <si>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</si>
  <si>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</si>
  <si>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</si>
  <si>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</si>
  <si>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</si>
  <si>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</si>
  <si>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</si>
  <si>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</si>
  <si>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</si>
  <si>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</si>
  <si>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</si>
  <si>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</si>
  <si>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</si>
  <si>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</si>
  <si>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</si>
  <si>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</si>
  <si>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</si>
  <si>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</si>
  <si>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</si>
  <si>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</si>
  <si>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</si>
  <si>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</si>
  <si>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</si>
  <si>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</si>
  <si>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</si>
  <si>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</si>
  <si>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</si>
  <si>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</si>
  <si>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</si>
  <si>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</si>
  <si>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</si>
  <si>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</si>
  <si>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</si>
  <si>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</si>
  <si>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</si>
  <si>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</si>
  <si>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</si>
  <si>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</si>
  <si>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</si>
  <si>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</si>
  <si>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</si>
  <si>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</si>
  <si>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</si>
  <si>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</si>
  <si>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</si>
  <si>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</si>
  <si>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</si>
  <si>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</si>
  <si>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</si>
  <si>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</si>
  <si>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</si>
  <si>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</si>
  <si>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</si>
  <si>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</si>
  <si>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</si>
  <si>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</si>
  <si>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</si>
  <si>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</si>
  <si>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</si>
  <si>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</si>
  <si>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</si>
  <si>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</si>
  <si>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</si>
  <si>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</si>
  <si>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</si>
  <si>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</si>
  <si>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</si>
  <si>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</si>
  <si>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</si>
  <si>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</si>
  <si>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</si>
  <si>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</si>
  <si>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</si>
  <si>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</si>
  <si>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</si>
  <si>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</si>
  <si>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</si>
  <si>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</si>
  <si>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</si>
  <si>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</si>
  <si>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</si>
  <si>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</si>
  <si>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</si>
  <si>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</si>
  <si>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</si>
  <si>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</si>
  <si>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</si>
  <si>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</si>
  <si>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</si>
  <si>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</si>
  <si>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</si>
  <si>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</si>
  <si>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</si>
  <si>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</si>
  <si>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</si>
  <si>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</si>
  <si>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</si>
  <si>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</si>
  <si>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</si>
  <si>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</si>
  <si>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</si>
  <si>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</si>
  <si>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</si>
  <si>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</si>
  <si>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</si>
  <si>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</si>
  <si>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</si>
  <si>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</si>
  <si>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</si>
  <si>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</si>
  <si>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</si>
  <si>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</si>
  <si>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</si>
  <si>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</si>
  <si>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</si>
  <si>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</si>
  <si>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</si>
  <si>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</si>
  <si>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</si>
  <si>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</si>
  <si>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</si>
  <si>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</si>
  <si>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</si>
  <si>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</si>
  <si>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</si>
  <si>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</si>
  <si>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</si>
  <si>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</si>
  <si>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</si>
  <si>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</si>
  <si>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</si>
  <si>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</si>
  <si>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</si>
  <si>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</si>
  <si>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</si>
  <si>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</si>
  <si>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</si>
  <si>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</si>
  <si>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</si>
  <si>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</si>
  <si>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</si>
  <si>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</si>
  <si>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</si>
  <si>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</si>
  <si>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</si>
  <si>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</si>
  <si>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</si>
  <si>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</si>
  <si>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</si>
  <si>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</si>
  <si>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</si>
  <si>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</si>
  <si>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</si>
  <si>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</si>
  <si>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</si>
  <si>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</si>
  <si>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</si>
  <si>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</si>
  <si>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</si>
  <si>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</si>
  <si>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</si>
  <si>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</si>
  <si>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</si>
  <si>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</si>
  <si>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</si>
  <si>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</si>
  <si>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</si>
  <si>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</si>
  <si>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</si>
  <si>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</si>
  <si>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</si>
  <si>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</si>
  <si>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</si>
  <si>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</si>
  <si>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</si>
  <si>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</si>
  <si>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</si>
  <si>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</si>
  <si>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</si>
  <si>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</si>
  <si>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</si>
  <si>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</si>
  <si>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</si>
  <si>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</si>
  <si>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</si>
  <si>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</si>
  <si>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</si>
  <si>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</si>
  <si>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</si>
  <si>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</si>
  <si>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</si>
  <si>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</si>
  <si>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</si>
  <si>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</si>
  <si>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</si>
  <si>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</si>
  <si>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</si>
  <si>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</si>
  <si>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</si>
  <si>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</si>
  <si>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</si>
  <si>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</si>
  <si>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</si>
  <si>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</si>
  <si>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</si>
  <si>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</si>
  <si>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</si>
  <si>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</si>
  <si>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>3.1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</si>
  <si>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</si>
  <si>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</si>
  <si>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</si>
  <si>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</si>
  <si>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</si>
  <si>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</si>
  <si>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</si>
  <si>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</si>
  <si>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</si>
  <si>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</si>
  <si>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</si>
  <si>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</si>
  <si>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</si>
  <si>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</si>
  <si>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</si>
  <si>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</si>
  <si>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</si>
  <si>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</si>
  <si>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</si>
  <si>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</si>
  <si>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</si>
  <si>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</si>
  <si>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</si>
  <si>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</si>
  <si>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</si>
  <si>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</si>
  <si>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</si>
  <si>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</si>
  <si>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</si>
  <si>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</si>
  <si>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</si>
  <si>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</si>
  <si>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</si>
  <si>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</si>
  <si>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</si>
  <si>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</si>
  <si>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</si>
  <si>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</si>
  <si>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</si>
  <si>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</si>
  <si>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</si>
  <si>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</si>
  <si>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</si>
  <si>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</si>
  <si>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</si>
  <si>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</si>
  <si>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</si>
  <si>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</si>
  <si>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</si>
  <si>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</si>
  <si>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</si>
  <si>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</si>
  <si>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</si>
  <si>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</si>
  <si>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</si>
  <si>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</si>
  <si>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</si>
  <si>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</si>
  <si>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</si>
  <si>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</si>
  <si>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</si>
  <si>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</si>
  <si>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</si>
  <si>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</si>
  <si>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</si>
  <si>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</si>
  <si>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</si>
  <si>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</si>
  <si>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</si>
  <si>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</si>
  <si>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</si>
  <si>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</si>
  <si>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</si>
  <si>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</si>
  <si>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</si>
  <si>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</si>
  <si>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</si>
  <si>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</si>
  <si>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</si>
  <si>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</si>
  <si>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</si>
  <si>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</si>
  <si>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</si>
  <si>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</si>
  <si>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</si>
  <si>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</si>
  <si>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</si>
  <si>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</si>
  <si>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</si>
  <si>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</si>
  <si>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</si>
  <si>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</si>
  <si>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</si>
  <si>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</si>
  <si>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</si>
  <si>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</si>
  <si>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</si>
  <si>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</si>
  <si>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</si>
  <si>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</si>
  <si>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</si>
  <si>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</si>
  <si>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</si>
  <si>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</si>
  <si>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</si>
  <si>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</si>
  <si>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</si>
  <si>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</si>
  <si>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</si>
  <si>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</si>
  <si>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</si>
  <si>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</si>
  <si>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</si>
  <si>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</si>
  <si>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</si>
  <si>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</si>
  <si>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</si>
  <si>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</si>
  <si>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</si>
  <si>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</si>
  <si>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</si>
  <si>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</si>
  <si>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</si>
  <si>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</si>
  <si>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</si>
  <si>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</si>
  <si>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</si>
  <si>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</si>
  <si>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</si>
  <si>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</si>
  <si>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</si>
  <si>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</si>
  <si>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</si>
  <si>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</si>
  <si>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</si>
  <si>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</si>
  <si>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</si>
  <si>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</si>
  <si>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</si>
  <si>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</si>
  <si>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</si>
  <si>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</si>
  <si>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</si>
  <si>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</si>
  <si>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</si>
  <si>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</si>
  <si>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</si>
  <si>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</si>
  <si>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</si>
  <si>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</si>
  <si>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</si>
  <si>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</si>
  <si>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</si>
  <si>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</si>
  <si>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</si>
  <si>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</si>
  <si>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</si>
  <si>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</si>
  <si>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</si>
  <si>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</si>
  <si>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</si>
  <si>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</si>
  <si>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</si>
  <si>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</si>
  <si>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</si>
  <si>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</si>
  <si>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</si>
  <si>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</si>
  <si>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</si>
  <si>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</si>
  <si>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</si>
  <si>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</si>
  <si>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</si>
  <si>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</si>
  <si>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</si>
  <si>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</si>
  <si>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</si>
  <si>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</si>
  <si>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</si>
  <si>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</si>
  <si>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</si>
  <si>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</si>
  <si>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</si>
  <si>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</si>
  <si>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</si>
  <si>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</si>
  <si>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</si>
  <si>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</si>
  <si>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</si>
  <si>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</si>
  <si>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</si>
  <si>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</si>
  <si>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</si>
  <si>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</si>
  <si>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</si>
  <si>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</si>
  <si>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</si>
  <si>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</si>
  <si>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</si>
  <si>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</si>
  <si>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</si>
  <si>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</si>
  <si>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</si>
  <si>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</si>
  <si>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</si>
  <si>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</si>
  <si>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</si>
  <si>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</si>
  <si>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</si>
  <si>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</si>
  <si>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</si>
  <si>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</si>
  <si>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</si>
  <si>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</si>
  <si>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</si>
  <si>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</si>
  <si>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</si>
  <si>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</si>
  <si>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</si>
  <si>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</si>
  <si>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</si>
  <si>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</si>
  <si>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</si>
  <si>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</si>
  <si>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</si>
  <si>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</si>
  <si>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</si>
  <si>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</si>
  <si>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</si>
  <si>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</si>
  <si>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</si>
  <si>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</si>
  <si>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</si>
  <si>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</si>
  <si>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</si>
  <si>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</si>
  <si>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</si>
  <si>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</si>
  <si>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</si>
  <si>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</si>
  <si>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</si>
  <si>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</si>
  <si>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</si>
  <si>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</si>
  <si>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</si>
  <si>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</si>
  <si>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</si>
  <si>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</si>
  <si>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</si>
  <si>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</si>
  <si>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</si>
  <si>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</si>
  <si>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</si>
  <si>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</si>
  <si>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</si>
  <si>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</si>
  <si>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</si>
  <si>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</si>
  <si>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</si>
  <si>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</si>
  <si>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</si>
  <si>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</si>
  <si>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</si>
  <si>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</si>
  <si>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</si>
  <si>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</si>
  <si>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</si>
  <si>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</si>
  <si>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</si>
  <si>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</si>
  <si>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</si>
  <si>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</si>
  <si>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</si>
  <si>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</si>
  <si>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</si>
  <si>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</si>
  <si>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</si>
  <si>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</si>
  <si>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</si>
  <si>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</si>
  <si>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</si>
  <si>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</si>
  <si>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</si>
  <si>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</si>
  <si>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</si>
  <si>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</si>
  <si>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</si>
  <si>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</si>
  <si>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</si>
  <si>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</si>
  <si>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</si>
  <si>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</si>
  <si>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</si>
  <si>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</si>
  <si>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</si>
  <si>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</si>
  <si>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</si>
  <si>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</si>
  <si>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</si>
  <si>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</si>
  <si>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</si>
  <si>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</si>
  <si>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</si>
  <si>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</si>
  <si>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</si>
  <si>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</si>
  <si>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</si>
  <si>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</si>
  <si>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</si>
  <si>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</si>
  <si>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</si>
  <si>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</si>
  <si>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</si>
  <si>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</si>
  <si>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</si>
  <si>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</si>
  <si>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</si>
  <si>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</si>
  <si>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</si>
  <si>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</si>
  <si>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</si>
  <si>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</si>
  <si>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</si>
  <si>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</si>
  <si>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</si>
  <si>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</si>
  <si>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</si>
  <si>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</si>
  <si>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</si>
  <si>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</si>
  <si>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</si>
  <si>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</si>
  <si>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</si>
  <si>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</si>
  <si>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</si>
  <si>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</si>
  <si>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</si>
  <si>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</si>
  <si>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</si>
  <si>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</si>
  <si>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</si>
  <si>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</si>
  <si>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</si>
  <si>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</si>
  <si>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</si>
  <si>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</si>
  <si>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</si>
  <si>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</si>
  <si>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</si>
  <si>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</si>
  <si>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</si>
  <si>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</si>
  <si>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</si>
  <si>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</si>
  <si>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</si>
  <si>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</si>
  <si>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</si>
  <si>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</si>
  <si>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</si>
  <si>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</si>
  <si>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</si>
  <si>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</si>
  <si>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</si>
  <si>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</si>
  <si>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</si>
  <si>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</si>
  <si>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</si>
  <si>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</si>
  <si>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</si>
  <si>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</si>
  <si>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</si>
  <si>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</si>
  <si>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</si>
  <si>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</si>
  <si>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</si>
  <si>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</si>
  <si>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</si>
  <si>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</si>
  <si>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</si>
  <si>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</si>
  <si>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</si>
  <si>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</si>
  <si>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</si>
  <si>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</si>
  <si>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</si>
  <si>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</si>
  <si>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</si>
  <si>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</si>
  <si>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</si>
  <si>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</si>
  <si>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</si>
  <si>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</si>
  <si>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</si>
  <si>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</si>
  <si>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</si>
  <si>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</si>
  <si>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</si>
  <si>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</si>
  <si>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</si>
  <si>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</si>
  <si>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</si>
  <si>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</si>
  <si>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</si>
  <si>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</si>
  <si>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</si>
  <si>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</si>
  <si>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</si>
  <si>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</si>
  <si>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</si>
  <si>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</si>
  <si>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</si>
  <si>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</si>
  <si>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</si>
  <si>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</si>
  <si>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</si>
  <si>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</si>
  <si>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</si>
  <si>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</si>
  <si>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</si>
  <si>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</si>
  <si>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</si>
  <si>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</si>
  <si>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</si>
  <si>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</si>
  <si>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</si>
  <si>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</si>
  <si>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</si>
  <si>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</si>
  <si>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</si>
  <si>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</si>
  <si>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</si>
  <si>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</si>
  <si>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</si>
  <si>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</si>
  <si>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</si>
  <si>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</si>
  <si>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</si>
  <si>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</si>
  <si>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</si>
  <si>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</si>
  <si>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</si>
  <si>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</si>
  <si>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</si>
  <si>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</si>
  <si>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</si>
  <si>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</si>
  <si>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</si>
  <si>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</si>
  <si>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</si>
  <si>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</si>
  <si>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</si>
  <si>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</si>
  <si>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</si>
  <si>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</si>
  <si>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</si>
  <si>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</si>
  <si>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</si>
  <si>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</si>
  <si>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</si>
  <si>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</si>
  <si>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</si>
  <si>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</si>
  <si>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</si>
  <si>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</si>
  <si>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</si>
  <si>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</si>
  <si>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</si>
  <si>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</si>
  <si>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</si>
  <si>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</si>
  <si>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</si>
  <si>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</si>
  <si>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</si>
  <si>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</si>
  <si>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</si>
  <si>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</si>
  <si>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</si>
  <si>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</si>
  <si>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</si>
  <si>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</si>
  <si>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</si>
  <si>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</si>
  <si>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</si>
  <si>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</si>
  <si>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</si>
  <si>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</si>
  <si>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</si>
  <si>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</si>
  <si>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</si>
  <si>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</si>
  <si>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</si>
  <si>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</si>
  <si>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</si>
  <si>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</si>
  <si>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</si>
  <si>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</si>
  <si>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</si>
  <si>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</si>
  <si>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</si>
  <si>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</si>
  <si>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</si>
  <si>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</si>
  <si>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</si>
  <si>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</si>
  <si>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</si>
  <si>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</si>
  <si>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</si>
  <si>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</si>
  <si>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</si>
  <si>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</si>
  <si>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</si>
  <si>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</si>
  <si>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</si>
  <si>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</si>
  <si>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</si>
  <si>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</si>
  <si>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</si>
  <si>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</si>
  <si>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</si>
  <si>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</si>
  <si>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</si>
  <si>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</si>
  <si>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</si>
  <si>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</si>
  <si>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</si>
  <si>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</si>
  <si>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</si>
  <si>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</si>
  <si>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</si>
  <si>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</si>
  <si>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</si>
  <si>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</si>
  <si>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</si>
  <si>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</si>
  <si>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</si>
  <si>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</si>
  <si>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</si>
  <si>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</si>
  <si>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</si>
  <si>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</si>
  <si>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</si>
  <si>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</si>
  <si>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</si>
  <si>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</si>
  <si>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</si>
  <si>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</si>
  <si>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</si>
  <si>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</si>
  <si>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</si>
  <si>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</si>
  <si>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</si>
  <si>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</si>
  <si>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</si>
  <si>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</si>
  <si>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</si>
  <si>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</si>
  <si>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</si>
  <si>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</si>
  <si>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</si>
  <si>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</si>
  <si>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</si>
  <si>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</si>
  <si>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</si>
  <si>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</si>
  <si>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</si>
  <si>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</si>
  <si>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</si>
  <si>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</si>
  <si>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</si>
  <si>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</si>
  <si>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</si>
  <si>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</si>
  <si>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</si>
  <si>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</si>
  <si>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</si>
  <si>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</si>
  <si>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</si>
  <si>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</si>
  <si>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</si>
  <si>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</si>
  <si>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</si>
  <si>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</si>
  <si>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</si>
  <si>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</si>
  <si>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</si>
  <si>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</si>
  <si>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</si>
  <si>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</si>
  <si>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</si>
  <si>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</si>
  <si>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</si>
  <si>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</si>
  <si>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</si>
  <si>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</si>
  <si>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</si>
  <si>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</si>
  <si>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</si>
  <si>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</si>
  <si>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</si>
  <si>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</si>
  <si>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</si>
  <si>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</si>
  <si>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</si>
  <si>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</si>
  <si>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</si>
  <si>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</si>
  <si>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</si>
  <si>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</si>
  <si>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</si>
  <si>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</si>
  <si>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</si>
  <si>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</si>
  <si>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</si>
  <si>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</si>
  <si>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</si>
  <si>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</si>
  <si>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</si>
  <si>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</si>
  <si>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</si>
  <si>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</si>
  <si>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</si>
  <si>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</si>
  <si>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</si>
  <si>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</si>
  <si>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</si>
  <si>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</si>
  <si>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</si>
  <si>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</si>
  <si>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</si>
  <si>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</si>
  <si>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</si>
  <si>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</si>
  <si>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</si>
  <si>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</si>
  <si>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</si>
  <si>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</si>
  <si>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</si>
  <si>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</si>
  <si>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</si>
  <si>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</si>
  <si>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</si>
  <si>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</si>
  <si>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</si>
  <si>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</si>
  <si>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</si>
  <si>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</si>
  <si>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</si>
  <si>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</si>
  <si>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</si>
  <si>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</si>
  <si>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</si>
  <si>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</si>
  <si>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</si>
  <si>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</si>
  <si>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</si>
  <si>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</si>
  <si>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</si>
  <si>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</si>
  <si>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</si>
  <si>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</si>
  <si>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</si>
  <si>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</si>
  <si>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</si>
  <si>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</si>
  <si>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</si>
  <si>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</si>
  <si>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</si>
  <si>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</si>
  <si>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</si>
  <si>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</si>
  <si>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</si>
  <si>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</si>
  <si>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</si>
  <si>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</si>
  <si>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</si>
  <si>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</si>
  <si>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</si>
  <si>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</si>
  <si>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</si>
  <si>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</si>
  <si>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</si>
  <si>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</si>
  <si>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</si>
  <si>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</si>
  <si>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</si>
  <si>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</si>
  <si>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</si>
  <si>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</si>
  <si>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</si>
  <si>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</si>
  <si>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</si>
  <si>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</si>
  <si>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</si>
  <si>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</si>
  <si>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</si>
  <si>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</si>
  <si>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</si>
  <si>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</si>
  <si>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</si>
  <si>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</si>
  <si>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</si>
  <si>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</si>
  <si>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</si>
  <si>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</si>
  <si>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</si>
  <si>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</si>
  <si>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</si>
  <si>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</si>
  <si>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</si>
  <si>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</si>
  <si>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</si>
  <si>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</si>
  <si>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</si>
  <si>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</si>
  <si>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</si>
  <si>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</si>
  <si>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</si>
  <si>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</si>
  <si>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</si>
  <si>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</si>
  <si>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</si>
  <si>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</si>
  <si>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</si>
  <si>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</si>
  <si>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</si>
  <si>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</si>
  <si>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</si>
  <si>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</si>
  <si>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</si>
  <si>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</si>
  <si>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</si>
  <si>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</si>
  <si>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</si>
  <si>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</si>
  <si>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</si>
  <si>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</si>
  <si>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</si>
  <si>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</si>
  <si>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</si>
  <si>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</si>
  <si>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</si>
  <si>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</si>
  <si>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</si>
  <si>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</si>
  <si>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</si>
  <si>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</si>
  <si>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</si>
  <si>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</si>
  <si>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</si>
  <si>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</si>
  <si>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</si>
  <si>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</si>
  <si>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</si>
  <si>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</si>
  <si>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</si>
  <si>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</si>
  <si>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</si>
  <si>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</si>
  <si>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</si>
  <si>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</si>
  <si>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</si>
  <si>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</si>
  <si>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</si>
  <si>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</si>
  <si>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</si>
  <si>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</si>
  <si>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</si>
  <si>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</si>
  <si>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</si>
  <si>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</si>
  <si>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</si>
  <si>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</si>
  <si>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</si>
  <si>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</si>
  <si>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</si>
  <si>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</si>
  <si>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</si>
  <si>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</si>
  <si>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</si>
  <si>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</si>
  <si>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</si>
  <si>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</si>
  <si>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</si>
  <si>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</si>
  <si>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</si>
  <si>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</si>
  <si>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</si>
  <si>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</si>
  <si>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</si>
  <si>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</si>
  <si>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</si>
  <si>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</si>
  <si>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</si>
  <si>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</si>
  <si>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</si>
  <si>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</si>
  <si>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</si>
  <si>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</si>
  <si>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</si>
  <si>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</si>
  <si>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</si>
  <si>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</si>
  <si>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</si>
  <si>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</si>
  <si>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</si>
  <si>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</si>
  <si>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</si>
  <si>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</si>
  <si>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</si>
  <si>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</si>
  <si>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</si>
  <si>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</si>
  <si>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</si>
  <si>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</si>
  <si>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</si>
  <si>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</si>
  <si>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</si>
  <si>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</si>
  <si>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</si>
  <si>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</si>
  <si>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</si>
  <si>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</si>
  <si>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</si>
  <si>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</si>
  <si>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</si>
  <si>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</si>
  <si>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</si>
  <si>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</si>
  <si>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</si>
  <si>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</si>
  <si>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</si>
  <si>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</si>
  <si>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</si>
  <si>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</si>
  <si>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</si>
  <si>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</si>
  <si>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</si>
  <si>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</si>
  <si>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</si>
  <si>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</si>
  <si>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</si>
  <si>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</si>
  <si>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</si>
  <si>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</si>
  <si>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</si>
  <si>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</si>
  <si>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</si>
  <si>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</si>
  <si>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</si>
  <si>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</si>
  <si>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</si>
  <si>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</si>
  <si>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</si>
  <si>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</si>
  <si>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</si>
  <si>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</si>
  <si>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</si>
  <si>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</si>
  <si>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</si>
  <si>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</si>
  <si>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</si>
  <si>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</si>
  <si>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</si>
  <si>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</si>
  <si>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</si>
  <si>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</si>
  <si>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</si>
  <si>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</si>
  <si>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</si>
  <si>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</si>
  <si>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</si>
  <si>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</si>
  <si>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</si>
  <si>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</si>
  <si>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</si>
  <si>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</si>
  <si>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</si>
  <si>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</si>
  <si>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</si>
  <si>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</si>
  <si>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</si>
  <si>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</si>
  <si>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</si>
  <si>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</si>
  <si>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</si>
  <si>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</si>
  <si>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</si>
  <si>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</si>
  <si>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</si>
  <si>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</si>
  <si>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</si>
  <si>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</si>
  <si>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</si>
  <si>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</si>
  <si>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</si>
  <si>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</si>
  <si>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</si>
  <si>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</si>
  <si>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</si>
  <si>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</si>
  <si>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</si>
  <si>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</si>
  <si>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</si>
  <si>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</si>
  <si>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</si>
  <si>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</si>
  <si>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</si>
  <si>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</si>
  <si>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</si>
  <si>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</si>
  <si>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</si>
  <si>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</si>
  <si>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</si>
  <si>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</si>
  <si>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</si>
  <si>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</si>
  <si>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</si>
  <si>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</si>
  <si>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</si>
  <si>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</si>
  <si>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</si>
  <si>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</si>
  <si>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</si>
  <si>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</si>
  <si>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</si>
  <si>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</si>
  <si>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</si>
  <si>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</si>
  <si>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</si>
  <si>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</si>
  <si>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</si>
  <si>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</si>
  <si>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</si>
  <si>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</si>
  <si>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</si>
  <si>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</si>
  <si>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</si>
  <si>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</si>
  <si>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</si>
  <si>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</si>
  <si>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</si>
  <si>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</si>
  <si>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</si>
  <si>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</si>
  <si>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</si>
  <si>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</si>
  <si>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</si>
  <si>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</si>
  <si>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</si>
  <si>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</si>
  <si>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</si>
  <si>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</si>
  <si>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</si>
  <si>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</si>
  <si>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</si>
  <si>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</si>
  <si>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</si>
  <si>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</si>
  <si>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</si>
  <si>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</si>
  <si>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</si>
  <si>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</si>
  <si>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</si>
  <si>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</si>
  <si>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</si>
  <si>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</si>
  <si>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</si>
  <si>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</si>
  <si>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</si>
  <si>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</si>
  <si>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</si>
  <si>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</si>
  <si>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</si>
  <si>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</si>
  <si>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</si>
  <si>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</si>
  <si>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</si>
  <si>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</si>
  <si>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</si>
  <si>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</si>
  <si>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</si>
  <si>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</si>
  <si>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</si>
  <si>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</si>
  <si>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</si>
  <si>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</si>
  <si>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</si>
  <si>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</si>
  <si>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</si>
  <si>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Étiquettes de colonnes</t>
  </si>
  <si>
    <t>Total général</t>
  </si>
  <si>
    <t>Étiquettes de lignes</t>
  </si>
  <si>
    <t>(vide)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</si>
  <si>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</si>
  <si>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</si>
  <si>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</si>
  <si>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</si>
  <si>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</si>
  <si>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</si>
  <si>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</si>
  <si>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</si>
  <si>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</si>
  <si>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</si>
  <si>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</si>
  <si>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</si>
  <si>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</si>
  <si>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</si>
  <si>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</si>
  <si>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</si>
  <si>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</si>
  <si>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</si>
  <si>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CULTURES</t>
  </si>
  <si>
    <t>Z4_BV_T3_s4</t>
  </si>
  <si>
    <t>broutard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</si>
</sst>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C171">
            <v>2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C178">
            <v>9</v>
          </cell>
        </row>
        <row r="179"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C182">
            <v>13</v>
          </cell>
        </row>
        <row r="183"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C187">
            <v>18</v>
          </cell>
        </row>
        <row r="188"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C198">
            <v>29</v>
          </cell>
        </row>
        <row r="199"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C201">
            <v>32</v>
          </cell>
        </row>
        <row r="202">
          <cell r="C202">
            <v>33</v>
          </cell>
        </row>
        <row r="203">
          <cell r="C203">
            <v>34</v>
          </cell>
        </row>
        <row r="204">
          <cell r="C204">
            <v>35</v>
          </cell>
        </row>
        <row r="205"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C207">
            <v>38</v>
          </cell>
        </row>
        <row r="208">
          <cell r="C208">
            <v>39</v>
          </cell>
        </row>
        <row r="209">
          <cell r="C209">
            <v>40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K20">
            <v>0</v>
          </cell>
          <cell r="L20">
            <v>9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0.550718865743" createdVersion="6" refreshedVersion="6" minRefreshableVersion="3" recordCount="44">
  <cacheSource type="worksheet">
    <worksheetSource ref="A1:J45" sheet="Parcellaire"/>
  </cacheSource>
  <cacheFields count="10">
    <cacheField name="Numéro_x000a_Parcelle" numFmtId="0">
      <sharedItems containsMixedTypes="1" containsNumber="1" minValue="1.2" maxValue="4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19" count="9">
        <n v="319"/>
        <n v="47"/>
        <m/>
        <n v="80"/>
        <n v="317"/>
        <n v="130"/>
        <n v="30"/>
        <n v="318"/>
        <n v="228"/>
      </sharedItems>
    </cacheField>
    <cacheField name="surface" numFmtId="0">
      <sharedItems containsString="0" containsBlank="1" containsNumber="1" minValue="0.6" maxValue="8.5"/>
    </cacheField>
    <cacheField name="SURFACE2" numFmtId="0">
      <sharedItems containsString="0" containsBlank="1" containsNumber="1" minValue="1.5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1 (divisé en 4 identique )"/>
    <n v="1"/>
    <n v="2"/>
    <x v="0"/>
    <s v="PP"/>
    <x v="0"/>
    <n v="8.5"/>
    <n v="7"/>
    <n v="3"/>
    <n v="1"/>
  </r>
  <r>
    <n v="2"/>
    <n v="1"/>
    <n v="2"/>
    <x v="0"/>
    <s v="LANDES"/>
    <x v="1"/>
    <m/>
    <n v="1.5"/>
    <n v="3"/>
    <n v="1"/>
  </r>
  <r>
    <s v="3.1"/>
    <m/>
    <m/>
    <x v="1"/>
    <m/>
    <x v="2"/>
    <m/>
    <m/>
    <m/>
    <m/>
  </r>
  <r>
    <n v="3.2"/>
    <n v="1"/>
    <n v="2"/>
    <x v="0"/>
    <s v="PP"/>
    <x v="3"/>
    <n v="2"/>
    <m/>
    <n v="2"/>
    <n v="0.5"/>
  </r>
  <r>
    <n v="4"/>
    <n v="2"/>
    <n v="2"/>
    <x v="0"/>
    <s v="CULTURES"/>
    <x v="2"/>
    <n v="1"/>
    <m/>
    <n v="3"/>
    <n v="0"/>
  </r>
  <r>
    <n v="5"/>
    <m/>
    <m/>
    <x v="1"/>
    <m/>
    <x v="2"/>
    <m/>
    <m/>
    <m/>
    <m/>
  </r>
  <r>
    <n v="6"/>
    <n v="1"/>
    <n v="0"/>
    <x v="0"/>
    <s v="LANDES"/>
    <x v="1"/>
    <n v="2.5"/>
    <m/>
    <n v="2"/>
    <n v="1"/>
  </r>
  <r>
    <n v="7"/>
    <n v="1"/>
    <n v="2"/>
    <x v="0"/>
    <s v="PP"/>
    <x v="4"/>
    <n v="7.5"/>
    <n v="5"/>
    <n v="3"/>
    <n v="0.5"/>
  </r>
  <r>
    <n v="8"/>
    <n v="2"/>
    <n v="0"/>
    <x v="0"/>
    <s v="CULTURES"/>
    <x v="2"/>
    <m/>
    <n v="2.5"/>
    <n v="3"/>
    <n v="0"/>
  </r>
  <r>
    <n v="9"/>
    <n v="1"/>
    <n v="2"/>
    <x v="0"/>
    <s v="PP"/>
    <x v="5"/>
    <n v="3"/>
    <m/>
    <n v="3"/>
    <n v="1"/>
  </r>
  <r>
    <n v="10"/>
    <n v="1"/>
    <n v="2"/>
    <x v="0"/>
    <s v="PT"/>
    <x v="6"/>
    <n v="2"/>
    <m/>
    <n v="3"/>
    <n v="0"/>
  </r>
  <r>
    <n v="11"/>
    <n v="1"/>
    <n v="2"/>
    <x v="0"/>
    <s v="PT"/>
    <x v="6"/>
    <n v="1.5"/>
    <m/>
    <n v="2"/>
    <n v="0"/>
  </r>
  <r>
    <n v="12"/>
    <n v="1"/>
    <n v="2"/>
    <x v="2"/>
    <s v="PP"/>
    <x v="4"/>
    <n v="0.6"/>
    <m/>
    <n v="2"/>
    <n v="1"/>
  </r>
  <r>
    <n v="13"/>
    <n v="1"/>
    <n v="2"/>
    <x v="2"/>
    <s v="PP"/>
    <x v="4"/>
    <n v="1.4"/>
    <m/>
    <n v="3"/>
    <n v="1"/>
  </r>
  <r>
    <n v="14"/>
    <n v="1"/>
    <n v="2"/>
    <x v="2"/>
    <s v="PT"/>
    <x v="6"/>
    <n v="3"/>
    <m/>
    <n v="3"/>
    <n v="0"/>
  </r>
  <r>
    <n v="15"/>
    <n v="1"/>
    <n v="2"/>
    <x v="0"/>
    <s v="PP"/>
    <x v="5"/>
    <n v="2.5"/>
    <m/>
    <n v="2"/>
    <n v="1"/>
  </r>
  <r>
    <n v="16"/>
    <n v="1"/>
    <n v="2"/>
    <x v="0"/>
    <s v="PP"/>
    <x v="5"/>
    <n v="4.5"/>
    <m/>
    <n v="3"/>
    <n v="1"/>
  </r>
  <r>
    <n v="17"/>
    <n v="1"/>
    <n v="2"/>
    <x v="0"/>
    <s v="PP"/>
    <x v="7"/>
    <n v="3"/>
    <m/>
    <n v="3"/>
    <n v="1"/>
  </r>
  <r>
    <n v="18"/>
    <n v="1"/>
    <n v="0"/>
    <x v="0"/>
    <s v="PP"/>
    <x v="3"/>
    <n v="1"/>
    <m/>
    <n v="3"/>
    <n v="0.5"/>
  </r>
  <r>
    <n v="19"/>
    <n v="1"/>
    <n v="2"/>
    <x v="0"/>
    <s v="PP"/>
    <x v="7"/>
    <n v="4"/>
    <m/>
    <n v="3"/>
    <n v="1"/>
  </r>
  <r>
    <n v="1.2"/>
    <n v="1"/>
    <n v="2"/>
    <x v="0"/>
    <s v="PP"/>
    <x v="7"/>
    <n v="3"/>
    <m/>
    <n v="3"/>
    <n v="1"/>
  </r>
  <r>
    <n v="22"/>
    <n v="1"/>
    <n v="2"/>
    <x v="0"/>
    <s v="PP"/>
    <x v="7"/>
    <n v="2"/>
    <m/>
    <n v="3"/>
    <n v="1"/>
  </r>
  <r>
    <n v="23"/>
    <n v="1"/>
    <n v="2"/>
    <x v="0"/>
    <s v="PP"/>
    <x v="7"/>
    <n v="3"/>
    <m/>
    <n v="3"/>
    <n v="1"/>
  </r>
  <r>
    <n v="24"/>
    <n v="1"/>
    <n v="2"/>
    <x v="0"/>
    <s v="PP"/>
    <x v="7"/>
    <n v="1"/>
    <m/>
    <n v="3"/>
    <n v="1"/>
  </r>
  <r>
    <n v="25"/>
    <n v="1"/>
    <n v="2"/>
    <x v="0"/>
    <s v="PP"/>
    <x v="7"/>
    <n v="1"/>
    <m/>
    <n v="3"/>
    <n v="1"/>
  </r>
  <r>
    <n v="26"/>
    <n v="1"/>
    <n v="2"/>
    <x v="2"/>
    <s v="PP"/>
    <x v="8"/>
    <n v="6"/>
    <m/>
    <n v="3"/>
    <n v="1"/>
  </r>
  <r>
    <n v="27"/>
    <n v="1"/>
    <n v="2"/>
    <x v="2"/>
    <s v="PP"/>
    <x v="8"/>
    <n v="2"/>
    <m/>
    <n v="3"/>
    <n v="1"/>
  </r>
  <r>
    <n v="28"/>
    <n v="1"/>
    <n v="2"/>
    <x v="2"/>
    <s v="PP"/>
    <x v="8"/>
    <n v="3"/>
    <m/>
    <n v="3"/>
    <n v="1"/>
  </r>
  <r>
    <n v="29"/>
    <n v="1"/>
    <n v="2"/>
    <x v="2"/>
    <s v="PP"/>
    <x v="8"/>
    <n v="1"/>
    <m/>
    <n v="3"/>
    <n v="1"/>
  </r>
  <r>
    <n v="30"/>
    <n v="1"/>
    <n v="2"/>
    <x v="2"/>
    <s v="PP"/>
    <x v="8"/>
    <n v="2"/>
    <m/>
    <n v="3"/>
    <n v="1"/>
  </r>
  <r>
    <n v="31"/>
    <n v="1"/>
    <n v="2"/>
    <x v="2"/>
    <s v="PP"/>
    <x v="8"/>
    <n v="2"/>
    <m/>
    <n v="3"/>
    <n v="1"/>
  </r>
  <r>
    <n v="32"/>
    <m/>
    <m/>
    <x v="1"/>
    <m/>
    <x v="2"/>
    <m/>
    <m/>
    <m/>
    <m/>
  </r>
  <r>
    <n v="33"/>
    <m/>
    <m/>
    <x v="1"/>
    <m/>
    <x v="2"/>
    <m/>
    <m/>
    <m/>
    <m/>
  </r>
  <r>
    <n v="34"/>
    <m/>
    <m/>
    <x v="1"/>
    <m/>
    <x v="2"/>
    <m/>
    <m/>
    <m/>
    <m/>
  </r>
  <r>
    <n v="35"/>
    <m/>
    <m/>
    <x v="1"/>
    <m/>
    <x v="2"/>
    <m/>
    <m/>
    <m/>
    <m/>
  </r>
  <r>
    <n v="36"/>
    <m/>
    <m/>
    <x v="1"/>
    <m/>
    <x v="2"/>
    <m/>
    <m/>
    <m/>
    <m/>
  </r>
  <r>
    <n v="37"/>
    <m/>
    <m/>
    <x v="1"/>
    <m/>
    <x v="2"/>
    <m/>
    <m/>
    <m/>
    <m/>
  </r>
  <r>
    <n v="38"/>
    <m/>
    <m/>
    <x v="1"/>
    <m/>
    <x v="2"/>
    <m/>
    <m/>
    <m/>
    <m/>
  </r>
  <r>
    <n v="39"/>
    <m/>
    <m/>
    <x v="1"/>
    <m/>
    <x v="2"/>
    <m/>
    <m/>
    <m/>
    <m/>
  </r>
  <r>
    <n v="40"/>
    <m/>
    <m/>
    <x v="1"/>
    <m/>
    <x v="2"/>
    <m/>
    <m/>
    <m/>
    <m/>
  </r>
  <r>
    <n v="41"/>
    <m/>
    <m/>
    <x v="1"/>
    <m/>
    <x v="2"/>
    <m/>
    <m/>
    <m/>
    <m/>
  </r>
  <r>
    <n v="42"/>
    <m/>
    <m/>
    <x v="1"/>
    <m/>
    <x v="2"/>
    <m/>
    <m/>
    <m/>
    <m/>
  </r>
  <r>
    <n v="43"/>
    <m/>
    <m/>
    <x v="1"/>
    <m/>
    <x v="2"/>
    <m/>
    <m/>
    <m/>
    <m/>
  </r>
  <r>
    <n v="44"/>
    <m/>
    <m/>
    <x v="1"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5:E16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x="6"/>
        <item x="1"/>
        <item x="3"/>
        <item x="5"/>
        <item x="4"/>
        <item x="7"/>
        <item x="0"/>
        <item x="2"/>
        <item x="8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30" sqref="K3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474</v>
      </c>
      <c r="K1" s="80" t="s">
        <v>1449</v>
      </c>
    </row>
    <row r="2" spans="10:22" x14ac:dyDescent="0.25">
      <c r="J2" s="14" t="s">
        <v>475</v>
      </c>
      <c r="K2" s="80" t="s">
        <v>476</v>
      </c>
      <c r="P2" s="14" t="s">
        <v>476</v>
      </c>
      <c r="R2">
        <v>0</v>
      </c>
      <c r="S2" t="s">
        <v>477</v>
      </c>
    </row>
    <row r="3" spans="10:22" x14ac:dyDescent="0.25">
      <c r="J3" s="14" t="s">
        <v>478</v>
      </c>
      <c r="K3" s="80"/>
      <c r="P3" s="14" t="s">
        <v>479</v>
      </c>
      <c r="R3">
        <v>1</v>
      </c>
      <c r="S3" t="s">
        <v>480</v>
      </c>
    </row>
    <row r="4" spans="10:22" x14ac:dyDescent="0.25">
      <c r="J4" s="14" t="s">
        <v>481</v>
      </c>
      <c r="K4" s="80">
        <v>1</v>
      </c>
      <c r="P4" s="14" t="s">
        <v>482</v>
      </c>
    </row>
    <row r="5" spans="10:22" x14ac:dyDescent="0.25">
      <c r="J5" s="14" t="s">
        <v>483</v>
      </c>
      <c r="K5" s="80">
        <v>0.5</v>
      </c>
      <c r="T5" t="s">
        <v>484</v>
      </c>
      <c r="V5" t="s">
        <v>485</v>
      </c>
    </row>
    <row r="6" spans="10:22" x14ac:dyDescent="0.25">
      <c r="J6" s="14" t="s">
        <v>486</v>
      </c>
      <c r="K6" s="80">
        <v>0</v>
      </c>
      <c r="P6" s="14">
        <v>1</v>
      </c>
      <c r="Q6" t="s">
        <v>487</v>
      </c>
      <c r="T6" s="14" t="s">
        <v>448</v>
      </c>
      <c r="V6" s="14" t="s">
        <v>488</v>
      </c>
    </row>
    <row r="7" spans="10:22" x14ac:dyDescent="0.25">
      <c r="P7" s="14">
        <v>2</v>
      </c>
      <c r="Q7" t="s">
        <v>489</v>
      </c>
      <c r="T7" s="14" t="s">
        <v>490</v>
      </c>
      <c r="V7" s="14" t="s">
        <v>491</v>
      </c>
    </row>
    <row r="8" spans="10:22" x14ac:dyDescent="0.25">
      <c r="J8" s="14" t="s">
        <v>492</v>
      </c>
      <c r="K8" s="80">
        <v>4</v>
      </c>
      <c r="P8" s="14">
        <v>3</v>
      </c>
      <c r="Q8" t="s">
        <v>493</v>
      </c>
      <c r="T8" s="14" t="s">
        <v>494</v>
      </c>
      <c r="V8" s="14" t="s">
        <v>495</v>
      </c>
    </row>
    <row r="9" spans="10:22" x14ac:dyDescent="0.25">
      <c r="J9" s="14" t="s">
        <v>496</v>
      </c>
      <c r="K9" s="80" t="s">
        <v>521</v>
      </c>
      <c r="P9" s="14">
        <v>4</v>
      </c>
      <c r="Q9" t="s">
        <v>497</v>
      </c>
      <c r="T9" s="14" t="s">
        <v>498</v>
      </c>
      <c r="V9" s="14" t="s">
        <v>499</v>
      </c>
    </row>
    <row r="10" spans="10:22" x14ac:dyDescent="0.25">
      <c r="J10" s="14" t="s">
        <v>500</v>
      </c>
      <c r="K10" s="171">
        <f>IF(K9="HM",1,IF(K9="M1",1,IF(K9="M2",1,0)))</f>
        <v>0</v>
      </c>
      <c r="P10" s="14">
        <v>5</v>
      </c>
      <c r="Q10" t="s">
        <v>501</v>
      </c>
      <c r="T10" s="14" t="s">
        <v>502</v>
      </c>
      <c r="V10" s="14" t="s">
        <v>503</v>
      </c>
    </row>
    <row r="11" spans="10:22" x14ac:dyDescent="0.25">
      <c r="J11" s="14" t="s">
        <v>504</v>
      </c>
      <c r="K11" s="171">
        <f>IF(K9=0,0,1)</f>
        <v>1</v>
      </c>
      <c r="P11" s="14"/>
      <c r="T11" s="14" t="s">
        <v>505</v>
      </c>
      <c r="V11" s="14" t="s">
        <v>506</v>
      </c>
    </row>
    <row r="12" spans="10:22" x14ac:dyDescent="0.25">
      <c r="J12" s="14" t="s">
        <v>507</v>
      </c>
      <c r="K12" s="80" t="s">
        <v>448</v>
      </c>
      <c r="P12" s="14"/>
      <c r="V12" s="14" t="s">
        <v>508</v>
      </c>
    </row>
    <row r="13" spans="10:22" x14ac:dyDescent="0.25">
      <c r="J13" s="14" t="s">
        <v>485</v>
      </c>
      <c r="K13" s="80" t="s">
        <v>508</v>
      </c>
      <c r="P13" s="14" t="s">
        <v>509</v>
      </c>
      <c r="Q13" t="s">
        <v>510</v>
      </c>
    </row>
    <row r="14" spans="10:22" x14ac:dyDescent="0.25">
      <c r="P14" s="14" t="s">
        <v>511</v>
      </c>
      <c r="Q14" t="s">
        <v>512</v>
      </c>
    </row>
    <row r="15" spans="10:22" x14ac:dyDescent="0.25">
      <c r="J15" s="14" t="s">
        <v>513</v>
      </c>
      <c r="K15" s="80">
        <v>0</v>
      </c>
      <c r="L15" t="s">
        <v>514</v>
      </c>
      <c r="P15" s="14" t="s">
        <v>515</v>
      </c>
      <c r="Q15" t="s">
        <v>516</v>
      </c>
    </row>
    <row r="16" spans="10:22" x14ac:dyDescent="0.25">
      <c r="J16" s="32" t="s">
        <v>517</v>
      </c>
      <c r="K16" s="80">
        <v>0</v>
      </c>
      <c r="P16" s="14" t="s">
        <v>518</v>
      </c>
      <c r="Q16" t="s">
        <v>519</v>
      </c>
    </row>
    <row r="17" spans="10:29" x14ac:dyDescent="0.25">
      <c r="J17" s="14" t="s">
        <v>520</v>
      </c>
      <c r="K17" s="80">
        <v>0</v>
      </c>
      <c r="P17" s="14" t="s">
        <v>521</v>
      </c>
      <c r="Q17" t="s">
        <v>522</v>
      </c>
    </row>
    <row r="18" spans="10:29" x14ac:dyDescent="0.25">
      <c r="J18" s="14" t="s">
        <v>523</v>
      </c>
      <c r="K18" s="80">
        <v>20</v>
      </c>
      <c r="P18" s="14">
        <v>0</v>
      </c>
      <c r="Q18" t="s">
        <v>524</v>
      </c>
    </row>
    <row r="19" spans="10:29" x14ac:dyDescent="0.25">
      <c r="J19" s="14" t="s">
        <v>525</v>
      </c>
      <c r="K19" s="80"/>
    </row>
    <row r="20" spans="10:29" x14ac:dyDescent="0.25">
      <c r="J20" s="14" t="s">
        <v>526</v>
      </c>
      <c r="K20" s="80"/>
    </row>
    <row r="21" spans="10:29" x14ac:dyDescent="0.25">
      <c r="J21" s="14" t="s">
        <v>527</v>
      </c>
      <c r="K21" s="80"/>
    </row>
    <row r="22" spans="10:29" x14ac:dyDescent="0.25">
      <c r="S22" s="2" t="s">
        <v>528</v>
      </c>
      <c r="T22" s="2"/>
      <c r="U22" s="2"/>
    </row>
    <row r="23" spans="10:29" x14ac:dyDescent="0.25">
      <c r="T23" s="169" t="s">
        <v>529</v>
      </c>
      <c r="U23" s="169" t="s">
        <v>51</v>
      </c>
      <c r="V23" s="169" t="s">
        <v>530</v>
      </c>
      <c r="W23" s="169" t="s">
        <v>531</v>
      </c>
      <c r="X23" s="169" t="s">
        <v>532</v>
      </c>
      <c r="Y23" s="169" t="s">
        <v>533</v>
      </c>
      <c r="Z23" s="169" t="s">
        <v>534</v>
      </c>
      <c r="AA23" s="169" t="s">
        <v>535</v>
      </c>
      <c r="AB23" s="169" t="s">
        <v>536</v>
      </c>
      <c r="AC23" s="169" t="s">
        <v>537</v>
      </c>
    </row>
    <row r="24" spans="10:29" x14ac:dyDescent="0.25">
      <c r="S24" s="171">
        <v>1</v>
      </c>
      <c r="T24" s="171">
        <f>'Alim -Surf'!D34</f>
        <v>8</v>
      </c>
      <c r="U24" s="171">
        <f>'Alim -Surf'!E34</f>
        <v>1.5</v>
      </c>
      <c r="V24" s="171" t="str">
        <f>IF(T24=0,0,VLOOKUP(T24,[1]Cult!$A$7:$H$76,8))</f>
        <v>ME</v>
      </c>
      <c r="W24" s="171">
        <f>IF(V24="ME",U24,0)</f>
        <v>1.5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17</v>
      </c>
      <c r="U25" s="171">
        <f>'Alim -Surf'!E35</f>
        <v>1</v>
      </c>
      <c r="V25" s="171" t="str">
        <f>IF(T25=0,0,VLOOKUP(T25,[1]Cult!$A$7:$H$76,8))</f>
        <v>CR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1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7</v>
      </c>
      <c r="U26" s="171">
        <f>'Alim -Surf'!E36</f>
        <v>1</v>
      </c>
      <c r="V26" s="171" t="str">
        <f>IF(T26=0,0,VLOOKUP(T26,[1]Cult!$A$7:$H$76,8))</f>
        <v>MG</v>
      </c>
      <c r="W26" s="171">
        <f t="shared" si="0"/>
        <v>0</v>
      </c>
      <c r="X26" s="171">
        <f t="shared" si="1"/>
        <v>1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538</v>
      </c>
      <c r="S27" s="171">
        <v>4</v>
      </c>
      <c r="T27" s="171">
        <f>'Alim -Surf'!D37</f>
        <v>28</v>
      </c>
      <c r="U27" s="171">
        <f>'Alim -Surf'!E37</f>
        <v>4</v>
      </c>
      <c r="V27" s="171" t="str">
        <f>IF(T27=0,0,VLOOKUP(T27,[1]Cult!$A$7:$H$76,8))</f>
        <v>FL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4</v>
      </c>
      <c r="AC27" s="171">
        <f t="shared" si="6"/>
        <v>0</v>
      </c>
    </row>
    <row r="28" spans="10:29" x14ac:dyDescent="0.25">
      <c r="J28" s="14" t="s">
        <v>539</v>
      </c>
      <c r="K28" s="80">
        <v>27</v>
      </c>
      <c r="L28" t="s">
        <v>51</v>
      </c>
      <c r="M28" s="30">
        <f>U228</f>
        <v>6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540</v>
      </c>
      <c r="K29" s="80">
        <v>6</v>
      </c>
      <c r="L29" t="s">
        <v>51</v>
      </c>
      <c r="M29" s="30">
        <f>V228</f>
        <v>3.5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541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542</v>
      </c>
      <c r="K31" s="80">
        <v>0</v>
      </c>
      <c r="L31" t="s">
        <v>444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543</v>
      </c>
      <c r="K32" s="171">
        <f>$AB$34</f>
        <v>4</v>
      </c>
      <c r="M32" t="s">
        <v>544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545</v>
      </c>
      <c r="K33" s="171">
        <f>SUM($K$34:$K$39)</f>
        <v>3.5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1.5</v>
      </c>
      <c r="S34" s="62" t="s">
        <v>13</v>
      </c>
      <c r="T34" s="46"/>
      <c r="U34" s="62">
        <f>SUM(U24:U33)</f>
        <v>7.5</v>
      </c>
      <c r="V34" s="62"/>
      <c r="W34" s="62">
        <f t="shared" ref="W34:AA34" si="7">SUM(W24:W33)</f>
        <v>1.5</v>
      </c>
      <c r="X34" s="62">
        <f t="shared" si="7"/>
        <v>1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4</v>
      </c>
      <c r="AC34" s="62">
        <f>SUM(AC24:AC33)</f>
        <v>0</v>
      </c>
    </row>
    <row r="35" spans="10:132" x14ac:dyDescent="0.25">
      <c r="J35" s="14" t="s">
        <v>546</v>
      </c>
      <c r="K35" s="171">
        <f>$X$34</f>
        <v>1</v>
      </c>
    </row>
    <row r="36" spans="10:132" x14ac:dyDescent="0.25">
      <c r="J36" s="14" t="s">
        <v>547</v>
      </c>
      <c r="K36" s="171">
        <f>$Y$34</f>
        <v>1</v>
      </c>
    </row>
    <row r="37" spans="10:132" x14ac:dyDescent="0.25">
      <c r="J37" s="14" t="s">
        <v>548</v>
      </c>
      <c r="K37" s="171">
        <f>$Z$34</f>
        <v>0</v>
      </c>
    </row>
    <row r="38" spans="10:132" x14ac:dyDescent="0.25">
      <c r="J38" s="14" t="s">
        <v>549</v>
      </c>
      <c r="K38" s="171">
        <f>$AA$34</f>
        <v>0</v>
      </c>
    </row>
    <row r="39" spans="10:132" x14ac:dyDescent="0.25">
      <c r="J39" s="14" t="s">
        <v>550</v>
      </c>
      <c r="K39" s="171">
        <f>$AC$34</f>
        <v>0</v>
      </c>
    </row>
    <row r="40" spans="10:132" x14ac:dyDescent="0.25">
      <c r="J40" s="14" t="s">
        <v>551</v>
      </c>
      <c r="K40" s="171">
        <f>AC228</f>
        <v>6</v>
      </c>
    </row>
    <row r="41" spans="10:132" x14ac:dyDescent="0.25">
      <c r="J41" s="14" t="s">
        <v>552</v>
      </c>
      <c r="K41" s="171">
        <f>AD228</f>
        <v>40</v>
      </c>
    </row>
    <row r="42" spans="10:132" x14ac:dyDescent="0.25">
      <c r="J42" s="14" t="s">
        <v>553</v>
      </c>
      <c r="K42" s="171">
        <f>AA228</f>
        <v>0</v>
      </c>
    </row>
    <row r="43" spans="10:132" x14ac:dyDescent="0.25">
      <c r="J43" s="14" t="s">
        <v>554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555</v>
      </c>
      <c r="K48" s="171">
        <f>K33+K40+K41</f>
        <v>49.5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556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2</v>
      </c>
      <c r="BH49">
        <f>IF(CdTrp1!N77=1,1,IF(CdTrp1!N77=2,2,IF(CdTrp1!N77=3,2,0)))</f>
        <v>2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2</v>
      </c>
      <c r="BL49">
        <f>IF(CdTrp1!R77=1,1,IF(CdTrp1!R77=2,2,IF(CdTrp1!R77=3,2,0)))</f>
        <v>2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557</v>
      </c>
      <c r="K51" s="1"/>
      <c r="M51">
        <v>1</v>
      </c>
      <c r="N51" t="s">
        <v>480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558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559</v>
      </c>
      <c r="K53" s="171" t="str">
        <f>Troupeau!B3</f>
        <v>BV</v>
      </c>
      <c r="L53" t="s">
        <v>560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561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562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563</v>
      </c>
      <c r="K56" s="172">
        <v>1</v>
      </c>
      <c r="N56" t="s">
        <v>564</v>
      </c>
      <c r="P56" t="s">
        <v>565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566</v>
      </c>
      <c r="K57" s="80" t="s">
        <v>565</v>
      </c>
      <c r="N57" t="s">
        <v>567</v>
      </c>
      <c r="P57" t="s">
        <v>568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569</v>
      </c>
      <c r="K58" s="1">
        <v>1</v>
      </c>
      <c r="P58" t="s">
        <v>570</v>
      </c>
    </row>
    <row r="59" spans="10:132" x14ac:dyDescent="0.25">
      <c r="J59" s="14" t="s">
        <v>571</v>
      </c>
      <c r="K59" s="1">
        <v>0</v>
      </c>
      <c r="P59" t="s">
        <v>572</v>
      </c>
    </row>
    <row r="60" spans="10:132" x14ac:dyDescent="0.25">
      <c r="J60" s="40" t="s">
        <v>573</v>
      </c>
      <c r="K60" s="171">
        <f>Troupeau!C3</f>
        <v>0</v>
      </c>
      <c r="L60" t="s">
        <v>574</v>
      </c>
      <c r="P60" t="s">
        <v>575</v>
      </c>
    </row>
    <row r="61" spans="10:132" x14ac:dyDescent="0.25">
      <c r="J61" s="14" t="s">
        <v>576</v>
      </c>
      <c r="K61" s="172"/>
      <c r="L61" s="30" t="str">
        <f>IF(COUNTIF(CdTrp2!B76:Y85,5)&gt;0, "OUI", "NON")</f>
        <v>NON</v>
      </c>
      <c r="P61" t="s">
        <v>577</v>
      </c>
    </row>
    <row r="62" spans="10:132" x14ac:dyDescent="0.25">
      <c r="J62" s="14" t="s">
        <v>578</v>
      </c>
      <c r="K62" s="80"/>
    </row>
    <row r="63" spans="10:132" x14ac:dyDescent="0.25">
      <c r="J63"/>
      <c r="K63"/>
    </row>
    <row r="64" spans="10:132" x14ac:dyDescent="0.25">
      <c r="J64" s="14" t="s">
        <v>579</v>
      </c>
      <c r="K64" s="80"/>
    </row>
    <row r="65" spans="10:22" x14ac:dyDescent="0.25">
      <c r="J65" s="40" t="s">
        <v>580</v>
      </c>
      <c r="K65" s="171">
        <f>Troupeau!D3</f>
        <v>0</v>
      </c>
      <c r="L65" t="s">
        <v>581</v>
      </c>
    </row>
    <row r="66" spans="10:22" x14ac:dyDescent="0.25">
      <c r="J66" s="14" t="s">
        <v>582</v>
      </c>
      <c r="K66" s="80"/>
      <c r="L66" s="30" t="str">
        <f>IF(COUNTIF(CdTrp3!B76:Y85,5)&gt;0, "OUI", "NON")</f>
        <v>NON</v>
      </c>
    </row>
    <row r="67" spans="10:22" x14ac:dyDescent="0.25">
      <c r="J67" s="14" t="s">
        <v>583</v>
      </c>
      <c r="K67" s="80"/>
    </row>
    <row r="68" spans="10:22" x14ac:dyDescent="0.25">
      <c r="J68"/>
      <c r="K68"/>
    </row>
    <row r="69" spans="10:22" x14ac:dyDescent="0.25">
      <c r="J69" s="14" t="s">
        <v>584</v>
      </c>
      <c r="K69" s="80"/>
    </row>
    <row r="70" spans="10:22" x14ac:dyDescent="0.25">
      <c r="J70" s="14" t="s">
        <v>585</v>
      </c>
      <c r="K70" s="171">
        <f>IF(K53="OL",0,K54*K55)</f>
        <v>0</v>
      </c>
    </row>
    <row r="71" spans="10:22" x14ac:dyDescent="0.25">
      <c r="J71" s="14" t="s">
        <v>586</v>
      </c>
      <c r="K71" s="171">
        <f>IF(K60="OL",0,K61*K62)</f>
        <v>0</v>
      </c>
    </row>
    <row r="72" spans="10:22" x14ac:dyDescent="0.25">
      <c r="J72" s="14" t="s">
        <v>587</v>
      </c>
      <c r="K72" s="171">
        <f>IF(K65="OL",0,K66*K67)</f>
        <v>0</v>
      </c>
    </row>
    <row r="73" spans="10:22" x14ac:dyDescent="0.25">
      <c r="J73" s="14" t="s">
        <v>588</v>
      </c>
      <c r="K73" s="171">
        <f>SUM(K70:K72)</f>
        <v>0</v>
      </c>
    </row>
    <row r="74" spans="10:22" x14ac:dyDescent="0.25">
      <c r="J74" s="40" t="s">
        <v>589</v>
      </c>
      <c r="K74"/>
    </row>
    <row r="75" spans="10:22" x14ac:dyDescent="0.25">
      <c r="J75" s="14" t="s">
        <v>559</v>
      </c>
      <c r="K75" s="171" t="str">
        <f>Troupeau!B3</f>
        <v>BV</v>
      </c>
      <c r="L75" t="s">
        <v>590</v>
      </c>
      <c r="R75">
        <v>0</v>
      </c>
      <c r="S75" t="s">
        <v>591</v>
      </c>
      <c r="V75" s="14" t="s">
        <v>592</v>
      </c>
    </row>
    <row r="76" spans="10:22" x14ac:dyDescent="0.25">
      <c r="J76" s="14" t="s">
        <v>593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594</v>
      </c>
    </row>
    <row r="77" spans="10:22" x14ac:dyDescent="0.25">
      <c r="J77" s="14" t="s">
        <v>595</v>
      </c>
      <c r="K77" s="80"/>
      <c r="R77">
        <v>2</v>
      </c>
      <c r="U77">
        <v>2</v>
      </c>
      <c r="V77" t="s">
        <v>596</v>
      </c>
    </row>
    <row r="78" spans="10:22" x14ac:dyDescent="0.25">
      <c r="J78" s="40" t="s">
        <v>573</v>
      </c>
      <c r="K78" s="171">
        <f>Troupeau!C3</f>
        <v>0</v>
      </c>
      <c r="L78" t="s">
        <v>597</v>
      </c>
      <c r="R78">
        <v>3</v>
      </c>
    </row>
    <row r="79" spans="10:22" x14ac:dyDescent="0.25">
      <c r="J79" s="14" t="s">
        <v>598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599</v>
      </c>
      <c r="K80" s="80"/>
      <c r="R80">
        <v>5</v>
      </c>
    </row>
    <row r="81" spans="9:21" x14ac:dyDescent="0.25">
      <c r="J81" s="40" t="s">
        <v>580</v>
      </c>
      <c r="K81" s="171">
        <f>Troupeau!D3</f>
        <v>0</v>
      </c>
      <c r="L81" t="s">
        <v>600</v>
      </c>
      <c r="U81" s="43" t="s">
        <v>601</v>
      </c>
    </row>
    <row r="82" spans="9:21" x14ac:dyDescent="0.25">
      <c r="J82" s="14" t="s">
        <v>602</v>
      </c>
      <c r="K82" s="80"/>
      <c r="L82" s="30" t="str">
        <f>IF(COUNTIF(CdTrp3!B76:Y85,4)&gt;0, "OUI", "NON")</f>
        <v>NON</v>
      </c>
      <c r="Q82" s="43" t="s">
        <v>603</v>
      </c>
      <c r="T82">
        <v>0</v>
      </c>
      <c r="U82" t="s">
        <v>604</v>
      </c>
    </row>
    <row r="83" spans="9:21" x14ac:dyDescent="0.25">
      <c r="J83" s="14" t="s">
        <v>605</v>
      </c>
      <c r="K83" s="80"/>
      <c r="P83">
        <v>1</v>
      </c>
      <c r="Q83" t="s">
        <v>606</v>
      </c>
      <c r="T83">
        <v>1</v>
      </c>
      <c r="U83" t="s">
        <v>607</v>
      </c>
    </row>
    <row r="84" spans="9:21" x14ac:dyDescent="0.25">
      <c r="J84" s="40" t="s">
        <v>592</v>
      </c>
      <c r="K84" s="173"/>
      <c r="L84" t="s">
        <v>608</v>
      </c>
      <c r="P84">
        <v>2</v>
      </c>
      <c r="Q84" t="s">
        <v>609</v>
      </c>
      <c r="T84">
        <v>2</v>
      </c>
      <c r="U84" t="s">
        <v>610</v>
      </c>
    </row>
    <row r="85" spans="9:21" x14ac:dyDescent="0.25">
      <c r="K85"/>
      <c r="Q85" s="43" t="s">
        <v>611</v>
      </c>
      <c r="U85" s="43" t="s">
        <v>612</v>
      </c>
    </row>
    <row r="86" spans="9:21" x14ac:dyDescent="0.25">
      <c r="J86" s="40" t="s">
        <v>613</v>
      </c>
      <c r="P86">
        <v>1</v>
      </c>
      <c r="Q86" t="s">
        <v>614</v>
      </c>
      <c r="T86">
        <v>1</v>
      </c>
      <c r="U86" t="s">
        <v>604</v>
      </c>
    </row>
    <row r="87" spans="9:21" x14ac:dyDescent="0.25">
      <c r="J87" s="14" t="s">
        <v>615</v>
      </c>
      <c r="K87" s="80">
        <v>4</v>
      </c>
      <c r="P87">
        <v>2</v>
      </c>
      <c r="Q87" t="s">
        <v>616</v>
      </c>
      <c r="T87">
        <v>2</v>
      </c>
      <c r="U87" t="s">
        <v>617</v>
      </c>
    </row>
    <row r="88" spans="9:21" x14ac:dyDescent="0.25">
      <c r="J88" s="14" t="s">
        <v>603</v>
      </c>
      <c r="K88" s="80"/>
      <c r="P88">
        <v>3</v>
      </c>
      <c r="Q88" t="s">
        <v>618</v>
      </c>
      <c r="T88">
        <v>3</v>
      </c>
      <c r="U88" t="s">
        <v>619</v>
      </c>
    </row>
    <row r="89" spans="9:21" x14ac:dyDescent="0.25">
      <c r="J89" s="14" t="s">
        <v>620</v>
      </c>
      <c r="K89" s="80"/>
      <c r="T89">
        <v>4</v>
      </c>
      <c r="U89" t="s">
        <v>621</v>
      </c>
    </row>
    <row r="90" spans="9:21" x14ac:dyDescent="0.25">
      <c r="J90" s="14" t="s">
        <v>620</v>
      </c>
      <c r="K90" s="80"/>
    </row>
    <row r="91" spans="9:21" x14ac:dyDescent="0.25">
      <c r="J91" s="14" t="s">
        <v>601</v>
      </c>
      <c r="K91" s="80"/>
    </row>
    <row r="92" spans="9:21" x14ac:dyDescent="0.25">
      <c r="J92"/>
      <c r="K92"/>
    </row>
    <row r="93" spans="9:21" x14ac:dyDescent="0.25">
      <c r="J93" s="14" t="s">
        <v>622</v>
      </c>
      <c r="K93" s="80"/>
    </row>
    <row r="94" spans="9:21" x14ac:dyDescent="0.25">
      <c r="J94" s="14" t="s">
        <v>623</v>
      </c>
      <c r="K94" s="80"/>
      <c r="L94" t="s">
        <v>624</v>
      </c>
    </row>
    <row r="95" spans="9:21" x14ac:dyDescent="0.25">
      <c r="J95" s="14" t="s">
        <v>625</v>
      </c>
      <c r="L95" t="s">
        <v>626</v>
      </c>
      <c r="Q95" t="s">
        <v>627</v>
      </c>
    </row>
    <row r="96" spans="9:21" x14ac:dyDescent="0.25">
      <c r="I96" t="s">
        <v>628</v>
      </c>
      <c r="J96" s="14" t="s">
        <v>225</v>
      </c>
      <c r="K96" s="80" t="s">
        <v>629</v>
      </c>
      <c r="L96" s="30" t="str">
        <f>CdTrp1!A15</f>
        <v>Vaches lots principal</v>
      </c>
      <c r="Q96" t="s">
        <v>629</v>
      </c>
    </row>
    <row r="97" spans="9:17" x14ac:dyDescent="0.25">
      <c r="J97" s="14" t="s">
        <v>154</v>
      </c>
      <c r="K97" s="80" t="s">
        <v>630</v>
      </c>
      <c r="L97" s="30" t="str">
        <f>CdTrp1!A16</f>
        <v>Génisses de renouvellement</v>
      </c>
      <c r="Q97" t="s">
        <v>630</v>
      </c>
    </row>
    <row r="98" spans="9:17" x14ac:dyDescent="0.25">
      <c r="J98" s="14" t="s">
        <v>155</v>
      </c>
      <c r="K98" s="80" t="s">
        <v>630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630</v>
      </c>
      <c r="L99" s="30" t="str">
        <f>CdTrp1!A18</f>
        <v>réforme</v>
      </c>
    </row>
    <row r="100" spans="9:17" x14ac:dyDescent="0.25">
      <c r="J100" s="14" t="s">
        <v>157</v>
      </c>
      <c r="K100" s="80" t="s">
        <v>629</v>
      </c>
      <c r="L100" s="30" t="str">
        <f>CdTrp1!A19</f>
        <v>broutard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631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632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633</v>
      </c>
      <c r="K127" s="80"/>
      <c r="L127" t="s">
        <v>634</v>
      </c>
    </row>
    <row r="128" spans="9:12" x14ac:dyDescent="0.25">
      <c r="K128"/>
    </row>
    <row r="129" spans="10:15" x14ac:dyDescent="0.25">
      <c r="J129" s="14" t="s">
        <v>635</v>
      </c>
      <c r="K129" s="80"/>
      <c r="L129" t="s">
        <v>636</v>
      </c>
      <c r="N129">
        <v>0</v>
      </c>
      <c r="O129" t="s">
        <v>637</v>
      </c>
    </row>
    <row r="130" spans="10:15" x14ac:dyDescent="0.25">
      <c r="J130"/>
      <c r="K130"/>
      <c r="N130">
        <v>1</v>
      </c>
      <c r="O130" t="s">
        <v>638</v>
      </c>
    </row>
    <row r="161" spans="17:41" x14ac:dyDescent="0.25">
      <c r="R161" s="2" t="s">
        <v>639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  <c r="AL163" s="5"/>
    </row>
    <row r="164" spans="17:41" x14ac:dyDescent="0.25">
      <c r="Q164">
        <v>1</v>
      </c>
      <c r="R164" s="171">
        <f>'Alim -Surf'!Q7</f>
        <v>317</v>
      </c>
      <c r="S164" s="171">
        <f>'Alim -Surf'!R7</f>
        <v>0</v>
      </c>
      <c r="T164" s="171">
        <f>VLOOKUP($R164,[1]MEP!$A$4:$M$300,13)</f>
        <v>1</v>
      </c>
      <c r="U164" s="171">
        <f>IF($T164&gt;0,$S164,0)</f>
        <v>0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0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0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80</v>
      </c>
      <c r="S165" s="171">
        <f>'Alim -Surf'!R8</f>
        <v>0</v>
      </c>
      <c r="T165" s="171">
        <f>VLOOKUP(R165,[1]MEP!$A$4:$M$300,13)</f>
        <v>1</v>
      </c>
      <c r="U165" s="171">
        <f t="shared" ref="U165:U207" si="10">IF($T165&gt;0,$S165,0)</f>
        <v>0</v>
      </c>
      <c r="V165" s="171">
        <f t="shared" ref="V165:V207" si="11">IF($T165&gt;1,$S165,0)</f>
        <v>0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0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0</v>
      </c>
      <c r="AI165" s="171">
        <f t="shared" ref="AI165:AI207" si="19">IF(T165=1,AD165,0)</f>
        <v>0</v>
      </c>
      <c r="AJ165" s="171">
        <f t="shared" ref="AJ165:AJ207" si="20">IF(T165&gt;1,AD165,0)</f>
        <v>0</v>
      </c>
      <c r="AL165" s="5"/>
      <c r="AN165" s="32" t="s">
        <v>657</v>
      </c>
      <c r="AO165" s="171">
        <f>SUM(AD164:AD183)</f>
        <v>28.5</v>
      </c>
    </row>
    <row r="166" spans="17:41" x14ac:dyDescent="0.25">
      <c r="Q166">
        <v>3</v>
      </c>
      <c r="R166" s="171">
        <f>'Alim -Surf'!Q9</f>
        <v>30</v>
      </c>
      <c r="S166" s="171">
        <f>'Alim -Surf'!R9</f>
        <v>0</v>
      </c>
      <c r="T166" s="171">
        <f>VLOOKUP(R166,[1]MEP!$A$4:$M$300,13)</f>
        <v>2</v>
      </c>
      <c r="U166" s="171">
        <f t="shared" si="10"/>
        <v>0</v>
      </c>
      <c r="V166" s="171">
        <f t="shared" si="11"/>
        <v>0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8"/>
        <v>0</v>
      </c>
      <c r="AB166" s="171">
        <f t="shared" si="9"/>
        <v>0</v>
      </c>
      <c r="AC166" s="171">
        <f t="shared" si="13"/>
        <v>0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0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658</v>
      </c>
      <c r="AO166" s="171">
        <f>SUM(AC164:AC183)</f>
        <v>2.5</v>
      </c>
    </row>
    <row r="167" spans="17:41" x14ac:dyDescent="0.25">
      <c r="Q167">
        <v>4</v>
      </c>
      <c r="R167" s="171">
        <f>'Alim -Surf'!Q10</f>
        <v>130</v>
      </c>
      <c r="S167" s="171">
        <f>'Alim -Surf'!R10</f>
        <v>0</v>
      </c>
      <c r="T167" s="171">
        <f>VLOOKUP(R167,[1]MEP!$A$4:$M$300,13)</f>
        <v>1</v>
      </c>
      <c r="U167" s="171">
        <f t="shared" si="10"/>
        <v>0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8"/>
        <v>0</v>
      </c>
      <c r="AB167" s="171">
        <f t="shared" si="9"/>
        <v>0</v>
      </c>
      <c r="AC167" s="171">
        <f t="shared" si="13"/>
        <v>0</v>
      </c>
      <c r="AD167" s="171">
        <f t="shared" si="14"/>
        <v>0</v>
      </c>
      <c r="AE167" s="171">
        <f t="shared" si="15"/>
        <v>0</v>
      </c>
      <c r="AF167" s="171">
        <f t="shared" si="16"/>
        <v>0</v>
      </c>
      <c r="AG167" s="171">
        <f t="shared" si="17"/>
        <v>0</v>
      </c>
      <c r="AH167" s="171">
        <f t="shared" si="18"/>
        <v>0</v>
      </c>
      <c r="AI167" s="171">
        <f t="shared" si="19"/>
        <v>0</v>
      </c>
      <c r="AJ167" s="171">
        <f t="shared" si="20"/>
        <v>0</v>
      </c>
      <c r="AL167" s="5"/>
      <c r="AN167" s="32" t="s">
        <v>659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318</v>
      </c>
      <c r="S168" s="171">
        <f>'Alim -Surf'!R11</f>
        <v>0</v>
      </c>
      <c r="T168" s="171">
        <f>VLOOKUP(R168,[1]MEP!$A$4:$M$300,13)</f>
        <v>1</v>
      </c>
      <c r="U168" s="171">
        <f t="shared" si="10"/>
        <v>0</v>
      </c>
      <c r="V168" s="171">
        <f t="shared" si="11"/>
        <v>0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8"/>
        <v>0</v>
      </c>
      <c r="AB168" s="171">
        <f t="shared" si="9"/>
        <v>0</v>
      </c>
      <c r="AC168" s="171">
        <f t="shared" si="13"/>
        <v>0</v>
      </c>
      <c r="AD168" s="171">
        <f t="shared" si="14"/>
        <v>0</v>
      </c>
      <c r="AE168" s="171">
        <f t="shared" si="15"/>
        <v>0</v>
      </c>
      <c r="AF168" s="171">
        <f t="shared" si="16"/>
        <v>0</v>
      </c>
      <c r="AG168" s="171">
        <f t="shared" si="17"/>
        <v>0</v>
      </c>
      <c r="AH168" s="171">
        <f t="shared" si="18"/>
        <v>0</v>
      </c>
      <c r="AI168" s="171">
        <f t="shared" si="19"/>
        <v>0</v>
      </c>
      <c r="AJ168" s="171">
        <f t="shared" si="20"/>
        <v>0</v>
      </c>
      <c r="AL168" s="5"/>
      <c r="AN168" s="32" t="s">
        <v>660</v>
      </c>
      <c r="AO168" s="171">
        <f>SUM(AD186:AD205)</f>
        <v>11.5</v>
      </c>
    </row>
    <row r="169" spans="17:41" x14ac:dyDescent="0.25">
      <c r="Q169">
        <v>6</v>
      </c>
      <c r="R169" s="171">
        <f>'Alim -Surf'!Q12</f>
        <v>319</v>
      </c>
      <c r="S169" s="171">
        <f>'Alim -Surf'!R12</f>
        <v>24.5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24.5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24.5</v>
      </c>
      <c r="AI169" s="171">
        <f t="shared" si="19"/>
        <v>0</v>
      </c>
      <c r="AJ169" s="171">
        <f t="shared" si="20"/>
        <v>0</v>
      </c>
      <c r="AL169" s="5"/>
      <c r="AN169" s="32" t="s">
        <v>661</v>
      </c>
      <c r="AO169" s="171">
        <f>SUM(AC186:AC205)</f>
        <v>3.5</v>
      </c>
    </row>
    <row r="170" spans="17:41" x14ac:dyDescent="0.25">
      <c r="Q170">
        <v>7</v>
      </c>
      <c r="R170" s="171">
        <f>'Alim -Surf'!Q13</f>
        <v>228</v>
      </c>
      <c r="S170" s="171">
        <f>'Alim -Surf'!R13</f>
        <v>4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4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4</v>
      </c>
      <c r="AI170" s="171">
        <f t="shared" si="19"/>
        <v>0</v>
      </c>
      <c r="AJ170" s="171">
        <f t="shared" si="20"/>
        <v>0</v>
      </c>
      <c r="AL170" s="5"/>
      <c r="AN170" s="32" t="s">
        <v>662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127</v>
      </c>
      <c r="S171" s="171">
        <f>'Alim -Surf'!R14</f>
        <v>0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0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0</v>
      </c>
      <c r="AI171" s="171">
        <f t="shared" si="19"/>
        <v>0</v>
      </c>
      <c r="AJ171" s="171">
        <f t="shared" si="20"/>
        <v>0</v>
      </c>
      <c r="AL171" s="5"/>
      <c r="AN171" s="32" t="s">
        <v>663</v>
      </c>
      <c r="AO171" s="171">
        <f>'Alim -Surf'!O51</f>
        <v>4</v>
      </c>
    </row>
    <row r="172" spans="17:41" x14ac:dyDescent="0.25">
      <c r="Q172">
        <v>9</v>
      </c>
      <c r="R172" s="171">
        <f>'Alim -Surf'!Q15</f>
        <v>210</v>
      </c>
      <c r="S172" s="171">
        <f>'Alim -Surf'!R15</f>
        <v>2.5</v>
      </c>
      <c r="T172" s="171">
        <f>VLOOKUP(R172,[1]MEP!$A$4:$M$300,13)</f>
        <v>1</v>
      </c>
      <c r="U172" s="171">
        <f t="shared" si="10"/>
        <v>2.5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1</v>
      </c>
      <c r="AA172" s="171">
        <f t="shared" si="8"/>
        <v>0</v>
      </c>
      <c r="AB172" s="171">
        <f t="shared" si="9"/>
        <v>0</v>
      </c>
      <c r="AC172" s="171">
        <f t="shared" si="13"/>
        <v>2.5</v>
      </c>
      <c r="AD172" s="171">
        <f t="shared" si="14"/>
        <v>0</v>
      </c>
      <c r="AE172" s="171">
        <f t="shared" si="15"/>
        <v>0</v>
      </c>
      <c r="AF172" s="171">
        <f t="shared" si="16"/>
        <v>2.5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30</v>
      </c>
      <c r="S186" s="171">
        <f>'Alim -Surf'!R29</f>
        <v>3.5</v>
      </c>
      <c r="T186" s="171">
        <f>VLOOKUP(R186,[1]MEP!$A$4:$M$300,13)</f>
        <v>2</v>
      </c>
      <c r="U186" s="171">
        <f t="shared" si="10"/>
        <v>3.5</v>
      </c>
      <c r="V186" s="171">
        <f t="shared" si="11"/>
        <v>3.5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8"/>
        <v>0</v>
      </c>
      <c r="AB186" s="171">
        <f t="shared" si="9"/>
        <v>0</v>
      </c>
      <c r="AC186" s="171">
        <f t="shared" si="13"/>
        <v>3.5</v>
      </c>
      <c r="AD186" s="171">
        <f t="shared" si="14"/>
        <v>0</v>
      </c>
      <c r="AE186" s="171">
        <f t="shared" si="15"/>
        <v>0</v>
      </c>
      <c r="AF186" s="171">
        <f t="shared" si="16"/>
        <v>0</v>
      </c>
      <c r="AG186" s="171">
        <f t="shared" si="17"/>
        <v>3.5</v>
      </c>
      <c r="AH186" s="171">
        <f t="shared" si="18"/>
        <v>0</v>
      </c>
      <c r="AI186" s="171">
        <f t="shared" si="19"/>
        <v>0</v>
      </c>
      <c r="AJ186" s="171">
        <f t="shared" si="20"/>
        <v>0</v>
      </c>
      <c r="AL186" s="5"/>
    </row>
    <row r="187" spans="17:38" x14ac:dyDescent="0.25">
      <c r="Q187">
        <v>2</v>
      </c>
      <c r="R187" s="171">
        <f>'Alim -Surf'!Q30</f>
        <v>228</v>
      </c>
      <c r="S187" s="171">
        <f>'Alim -Surf'!R30</f>
        <v>11.5</v>
      </c>
      <c r="T187" s="171">
        <f>VLOOKUP(R187,[1]MEP!$A$4:$M$300,13)</f>
        <v>0</v>
      </c>
      <c r="U187" s="171">
        <f t="shared" si="10"/>
        <v>0</v>
      </c>
      <c r="V187" s="171">
        <f t="shared" si="11"/>
        <v>0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11.5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11.5</v>
      </c>
      <c r="AI187" s="171">
        <f t="shared" si="19"/>
        <v>0</v>
      </c>
      <c r="AJ187" s="171">
        <f t="shared" si="20"/>
        <v>0</v>
      </c>
      <c r="AL187" s="5"/>
    </row>
    <row r="188" spans="17:38" x14ac:dyDescent="0.25">
      <c r="Q188">
        <v>3</v>
      </c>
      <c r="R188" s="171">
        <f>'Alim -Surf'!Q31</f>
        <v>80</v>
      </c>
      <c r="S188" s="171">
        <f>'Alim -Surf'!R31</f>
        <v>0</v>
      </c>
      <c r="T188" s="171">
        <f>VLOOKUP(R188,[1]MEP!$A$4:$M$300,13)</f>
        <v>1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317</v>
      </c>
      <c r="S189" s="171">
        <f>'Alim -Surf'!R32</f>
        <v>0</v>
      </c>
      <c r="T189" s="171">
        <f>VLOOKUP(R189,[1]MEP!$A$4:$M$300,13)</f>
        <v>1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0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0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664</v>
      </c>
      <c r="R228" s="2"/>
      <c r="S228" s="62">
        <f t="shared" ref="S228" si="21">SUM(S164:S227)</f>
        <v>46</v>
      </c>
      <c r="U228" s="62">
        <f>SUM(U164:U227)</f>
        <v>6</v>
      </c>
      <c r="V228" s="62">
        <f t="shared" ref="V228:W228" si="22">SUM(V164:V227)</f>
        <v>3.5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6</v>
      </c>
      <c r="AD228" s="62">
        <f>SUM(AD164:AD227)</f>
        <v>40</v>
      </c>
      <c r="AE228" s="62">
        <f t="shared" ref="AE228:AJ228" si="24">SUM(AE164:AE227)</f>
        <v>0</v>
      </c>
      <c r="AF228" s="62">
        <f t="shared" si="24"/>
        <v>2.5</v>
      </c>
      <c r="AG228" s="62">
        <f t="shared" si="24"/>
        <v>3.5</v>
      </c>
      <c r="AH228" s="62">
        <f t="shared" si="24"/>
        <v>40</v>
      </c>
      <c r="AI228" s="62">
        <f t="shared" si="24"/>
        <v>0</v>
      </c>
      <c r="AJ228" s="62">
        <f t="shared" si="24"/>
        <v>0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13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665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666</v>
      </c>
      <c r="BJ1" t="s">
        <v>667</v>
      </c>
    </row>
    <row r="2" spans="1:64" x14ac:dyDescent="0.25">
      <c r="A2" s="14" t="s">
        <v>668</v>
      </c>
      <c r="B2" t="s">
        <v>559</v>
      </c>
      <c r="C2" s="175">
        <f>SUM(C3:C4)</f>
        <v>1</v>
      </c>
      <c r="D2" s="175">
        <f t="shared" ref="D2:Z2" si="0">SUM(D3:D4)</f>
        <v>1</v>
      </c>
      <c r="E2" s="175">
        <f t="shared" si="0"/>
        <v>1</v>
      </c>
      <c r="F2" s="175">
        <f t="shared" si="0"/>
        <v>1</v>
      </c>
      <c r="G2" s="175">
        <f t="shared" si="0"/>
        <v>2</v>
      </c>
      <c r="H2" s="175">
        <f t="shared" si="0"/>
        <v>2</v>
      </c>
      <c r="I2" s="175">
        <f t="shared" si="0"/>
        <v>3</v>
      </c>
      <c r="J2" s="175">
        <f t="shared" si="0"/>
        <v>3</v>
      </c>
      <c r="K2" s="175">
        <f t="shared" si="0"/>
        <v>3</v>
      </c>
      <c r="L2" s="175">
        <f t="shared" si="0"/>
        <v>3</v>
      </c>
      <c r="M2" s="175">
        <f t="shared" si="0"/>
        <v>3</v>
      </c>
      <c r="N2" s="175">
        <f t="shared" si="0"/>
        <v>3</v>
      </c>
      <c r="O2" s="175">
        <f t="shared" si="0"/>
        <v>3</v>
      </c>
      <c r="P2" s="175">
        <f t="shared" si="0"/>
        <v>3</v>
      </c>
      <c r="Q2" s="175">
        <f t="shared" si="0"/>
        <v>3</v>
      </c>
      <c r="R2" s="175">
        <f t="shared" si="0"/>
        <v>3</v>
      </c>
      <c r="S2" s="175">
        <f t="shared" si="0"/>
        <v>3</v>
      </c>
      <c r="T2" s="175">
        <f t="shared" si="0"/>
        <v>3</v>
      </c>
      <c r="U2" s="175">
        <f t="shared" si="0"/>
        <v>3</v>
      </c>
      <c r="V2" s="175">
        <f t="shared" si="0"/>
        <v>3</v>
      </c>
      <c r="W2" s="175">
        <f t="shared" si="0"/>
        <v>2</v>
      </c>
      <c r="X2" s="175">
        <f t="shared" si="0"/>
        <v>2</v>
      </c>
      <c r="Y2" s="175">
        <f t="shared" si="0"/>
        <v>2</v>
      </c>
      <c r="Z2" s="175">
        <f t="shared" si="0"/>
        <v>1</v>
      </c>
      <c r="AH2" s="169"/>
      <c r="AP2" t="s">
        <v>669</v>
      </c>
      <c r="AQ2" t="s">
        <v>670</v>
      </c>
      <c r="AV2" t="s">
        <v>671</v>
      </c>
      <c r="AW2" t="s">
        <v>34</v>
      </c>
      <c r="AX2" t="s">
        <v>445</v>
      </c>
      <c r="AY2" t="s">
        <v>75</v>
      </c>
      <c r="AZ2" t="s">
        <v>18</v>
      </c>
      <c r="BA2" t="s">
        <v>672</v>
      </c>
      <c r="BB2" t="s">
        <v>673</v>
      </c>
      <c r="BC2" t="s">
        <v>674</v>
      </c>
      <c r="BD2" t="s">
        <v>675</v>
      </c>
      <c r="BE2" t="s">
        <v>676</v>
      </c>
      <c r="BF2" t="s">
        <v>677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678</v>
      </c>
      <c r="B3" t="s">
        <v>559</v>
      </c>
      <c r="C3" s="175">
        <f t="shared" ref="C3:Z3" si="1">COUNTIF(C81:C90,1)</f>
        <v>1</v>
      </c>
      <c r="D3" s="175">
        <f t="shared" si="1"/>
        <v>1</v>
      </c>
      <c r="E3" s="175">
        <f t="shared" si="1"/>
        <v>1</v>
      </c>
      <c r="F3" s="175">
        <f t="shared" si="1"/>
        <v>1</v>
      </c>
      <c r="G3" s="175">
        <f t="shared" si="1"/>
        <v>1</v>
      </c>
      <c r="H3" s="175">
        <f t="shared" si="1"/>
        <v>1</v>
      </c>
      <c r="I3" s="175">
        <f t="shared" si="1"/>
        <v>2</v>
      </c>
      <c r="J3" s="175">
        <f t="shared" si="1"/>
        <v>2</v>
      </c>
      <c r="K3" s="175">
        <f t="shared" si="1"/>
        <v>2</v>
      </c>
      <c r="L3" s="175">
        <f t="shared" si="1"/>
        <v>2</v>
      </c>
      <c r="M3" s="175">
        <f t="shared" si="1"/>
        <v>2</v>
      </c>
      <c r="N3" s="175">
        <f t="shared" si="1"/>
        <v>2</v>
      </c>
      <c r="O3" s="175">
        <f t="shared" si="1"/>
        <v>2</v>
      </c>
      <c r="P3" s="175">
        <f t="shared" si="1"/>
        <v>2</v>
      </c>
      <c r="Q3" s="175">
        <f t="shared" si="1"/>
        <v>2</v>
      </c>
      <c r="R3" s="175">
        <f t="shared" si="1"/>
        <v>2</v>
      </c>
      <c r="S3" s="175">
        <f t="shared" si="1"/>
        <v>2</v>
      </c>
      <c r="T3" s="175">
        <f t="shared" si="1"/>
        <v>2</v>
      </c>
      <c r="U3" s="175">
        <f t="shared" si="1"/>
        <v>2</v>
      </c>
      <c r="V3" s="175">
        <f t="shared" si="1"/>
        <v>2</v>
      </c>
      <c r="W3" s="175">
        <f t="shared" si="1"/>
        <v>1</v>
      </c>
      <c r="X3" s="175">
        <f t="shared" si="1"/>
        <v>2</v>
      </c>
      <c r="Y3" s="175">
        <f t="shared" si="1"/>
        <v>2</v>
      </c>
      <c r="Z3" s="175">
        <f t="shared" si="1"/>
        <v>1</v>
      </c>
      <c r="AO3" s="14" t="s">
        <v>679</v>
      </c>
      <c r="AP3" s="30">
        <f>BG31</f>
        <v>551</v>
      </c>
      <c r="AQ3">
        <f>BJ31</f>
        <v>2.5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319</v>
      </c>
      <c r="AZ3" s="30">
        <f>Parcellaire!G2</f>
        <v>8.5</v>
      </c>
      <c r="BA3" s="30">
        <f>ROUND(Parcellaire!S2,0)</f>
        <v>0</v>
      </c>
      <c r="BB3" s="30">
        <f>ROUND(Parcellaire!T2,0)</f>
        <v>947</v>
      </c>
      <c r="BC3" s="30">
        <f>ROUND(Parcellaire!U2,0)</f>
        <v>947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947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8.5</v>
      </c>
      <c r="BL3" s="171">
        <f>IF($AW3&gt;0,IF(AND($BF3="PE",$AW3=1),$AZ3,0),0)</f>
        <v>0</v>
      </c>
    </row>
    <row r="4" spans="1:64" x14ac:dyDescent="0.25">
      <c r="A4" s="14" t="s">
        <v>680</v>
      </c>
      <c r="B4" t="s">
        <v>559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1</v>
      </c>
      <c r="H4" s="175">
        <f t="shared" si="2"/>
        <v>1</v>
      </c>
      <c r="I4" s="175">
        <f t="shared" si="2"/>
        <v>1</v>
      </c>
      <c r="J4" s="175">
        <f t="shared" si="2"/>
        <v>1</v>
      </c>
      <c r="K4" s="175">
        <f t="shared" si="2"/>
        <v>1</v>
      </c>
      <c r="L4" s="175">
        <f t="shared" si="2"/>
        <v>1</v>
      </c>
      <c r="M4" s="175">
        <f t="shared" si="2"/>
        <v>1</v>
      </c>
      <c r="N4" s="175">
        <f t="shared" si="2"/>
        <v>1</v>
      </c>
      <c r="O4" s="175">
        <f t="shared" si="2"/>
        <v>1</v>
      </c>
      <c r="P4" s="175">
        <f t="shared" si="2"/>
        <v>1</v>
      </c>
      <c r="Q4" s="175">
        <f t="shared" si="2"/>
        <v>1</v>
      </c>
      <c r="R4" s="175">
        <f t="shared" si="2"/>
        <v>1</v>
      </c>
      <c r="S4" s="175">
        <f t="shared" si="2"/>
        <v>1</v>
      </c>
      <c r="T4" s="175">
        <f t="shared" si="2"/>
        <v>1</v>
      </c>
      <c r="U4" s="175">
        <f t="shared" si="2"/>
        <v>1</v>
      </c>
      <c r="V4" s="175">
        <f t="shared" si="2"/>
        <v>1</v>
      </c>
      <c r="W4" s="175">
        <f t="shared" si="2"/>
        <v>1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681</v>
      </c>
      <c r="AP4" s="30">
        <f>SUM(BG31:BI31)</f>
        <v>7388</v>
      </c>
      <c r="AQ4">
        <f>SUM(BJ31:BL31)</f>
        <v>68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47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lande</v>
      </c>
      <c r="BE4" s="30" t="str">
        <f>IF(AW4=2,"",VLOOKUP(BD4,[1]MEP!$AC$5:$AD$10,2))</f>
        <v>LP</v>
      </c>
      <c r="BF4" s="30" t="str">
        <f t="shared" ref="BF4:BF30" si="3">IF(BE4="LP","LP",IF(AND(BE4="P",AX4="proche"),"PF",IF(AND(BE4="P",AX4="éloigné"),"PE","AU")))</f>
        <v>LP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682</v>
      </c>
      <c r="B5" t="s">
        <v>559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0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0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1419</v>
      </c>
      <c r="AJ5" s="30">
        <f>MAX(C203:Z203)</f>
        <v>0</v>
      </c>
      <c r="AO5" s="14" t="s">
        <v>683</v>
      </c>
      <c r="AP5" s="30">
        <f>BI31</f>
        <v>886</v>
      </c>
      <c r="AV5" s="30" t="str">
        <f>Parcellaire!A4</f>
        <v>3.1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ROUND(Parcellaire!S4,0)</f>
        <v>0</v>
      </c>
      <c r="BB5" s="30" t="e">
        <f>ROUND(Parcellaire!T4,0)</f>
        <v>#VALUE!</v>
      </c>
      <c r="BC5" s="30">
        <f>ROUND(Parcellaire!U4,0)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684</v>
      </c>
      <c r="B6" t="s">
        <v>559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0</v>
      </c>
      <c r="N6" s="175">
        <f t="shared" si="11"/>
        <v>0</v>
      </c>
      <c r="O6" s="175">
        <f t="shared" si="11"/>
        <v>0</v>
      </c>
      <c r="P6" s="175">
        <f t="shared" si="11"/>
        <v>0</v>
      </c>
      <c r="Q6" s="175">
        <f t="shared" si="11"/>
        <v>0</v>
      </c>
      <c r="R6" s="175">
        <f t="shared" si="11"/>
        <v>0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685</v>
      </c>
      <c r="AP6" s="30">
        <f>BH31</f>
        <v>5951</v>
      </c>
      <c r="AQ6">
        <f>BK31</f>
        <v>49.5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80</v>
      </c>
      <c r="AZ6" s="30">
        <f>Parcellaire!G5</f>
        <v>2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2</v>
      </c>
      <c r="BL6" s="171">
        <f t="shared" si="9"/>
        <v>0</v>
      </c>
    </row>
    <row r="7" spans="1:64" x14ac:dyDescent="0.25">
      <c r="A7" s="14" t="s">
        <v>686</v>
      </c>
      <c r="B7" t="s">
        <v>559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0</v>
      </c>
      <c r="N7" s="175">
        <f t="shared" si="12"/>
        <v>0</v>
      </c>
      <c r="O7" s="175">
        <f t="shared" si="12"/>
        <v>0</v>
      </c>
      <c r="P7" s="175">
        <f t="shared" si="12"/>
        <v>0</v>
      </c>
      <c r="Q7" s="175">
        <f t="shared" si="12"/>
        <v>0</v>
      </c>
      <c r="R7" s="175">
        <f t="shared" si="12"/>
        <v>0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687</v>
      </c>
      <c r="AP7" s="30">
        <f>Scénario!K73*[1]Protect!$F$60</f>
        <v>0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1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688</v>
      </c>
      <c r="B8" t="s">
        <v>559</v>
      </c>
      <c r="C8" s="175">
        <f>(C3+C4)*[1]Protect!$B$12</f>
        <v>2</v>
      </c>
      <c r="D8" s="175">
        <f>(D3+D4)*[1]Protect!$B$12</f>
        <v>2</v>
      </c>
      <c r="E8" s="175">
        <f>(E3+E4)*[1]Protect!$B$12</f>
        <v>2</v>
      </c>
      <c r="F8" s="175">
        <f>(F3+F4)*[1]Protect!$B$12</f>
        <v>2</v>
      </c>
      <c r="G8" s="175">
        <f>(G3+G4)*[1]Protect!$B$12</f>
        <v>4</v>
      </c>
      <c r="H8" s="175">
        <f>(H3+H4)*[1]Protect!$B$12</f>
        <v>4</v>
      </c>
      <c r="I8" s="175">
        <f>(I3+I4)*[1]Protect!$B$12</f>
        <v>6</v>
      </c>
      <c r="J8" s="175">
        <f>(J3+J4)*[1]Protect!$B$12</f>
        <v>6</v>
      </c>
      <c r="K8" s="175">
        <f>(K3+K4)*[1]Protect!$B$12</f>
        <v>6</v>
      </c>
      <c r="L8" s="175">
        <f>(L3+L4)*[1]Protect!$B$12</f>
        <v>6</v>
      </c>
      <c r="M8" s="175">
        <f>(M3+M4)*[1]Protect!$B$12</f>
        <v>6</v>
      </c>
      <c r="N8" s="175">
        <f>(N3+N4)*[1]Protect!$B$12</f>
        <v>6</v>
      </c>
      <c r="O8" s="175">
        <f>(O3+O4)*[1]Protect!$B$12</f>
        <v>6</v>
      </c>
      <c r="P8" s="175">
        <f>(P3+P4)*[1]Protect!$B$12</f>
        <v>6</v>
      </c>
      <c r="Q8" s="175">
        <f>(Q3+Q4)*[1]Protect!$B$12</f>
        <v>6</v>
      </c>
      <c r="R8" s="175">
        <f>(R3+R4)*[1]Protect!$B$12</f>
        <v>6</v>
      </c>
      <c r="S8" s="175">
        <f>(S3+S4)*[1]Protect!$B$12</f>
        <v>6</v>
      </c>
      <c r="T8" s="175">
        <f>(T3+T4)*[1]Protect!$B$12</f>
        <v>6</v>
      </c>
      <c r="U8" s="175">
        <f>(U3+U4)*[1]Protect!$B$12</f>
        <v>6</v>
      </c>
      <c r="V8" s="175">
        <f>(V3+V4)*[1]Protect!$B$12</f>
        <v>6</v>
      </c>
      <c r="W8" s="175">
        <f>(W3+W4)*[1]Protect!$B$12</f>
        <v>4</v>
      </c>
      <c r="X8" s="175">
        <f>(X3+X4)*[1]Protect!$B$12</f>
        <v>4</v>
      </c>
      <c r="Y8" s="175">
        <f>(Y3+Y4)*[1]Protect!$B$12</f>
        <v>4</v>
      </c>
      <c r="Z8" s="175">
        <f>(Z3+Z4)*[1]Protect!$B$12</f>
        <v>2</v>
      </c>
      <c r="AI8" s="40" t="s">
        <v>689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690</v>
      </c>
      <c r="B9" t="s">
        <v>559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0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0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47</v>
      </c>
      <c r="AZ9" s="30">
        <f>Parcellaire!G8</f>
        <v>2.5</v>
      </c>
      <c r="BA9" s="30">
        <f>ROUND(Parcellaire!S8,0)</f>
        <v>0</v>
      </c>
      <c r="BB9" s="30">
        <f>ROUND(Parcellaire!T8,0)</f>
        <v>551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551</v>
      </c>
      <c r="BH9" s="171">
        <f t="shared" si="5"/>
        <v>0</v>
      </c>
      <c r="BI9" s="171">
        <f t="shared" si="6"/>
        <v>0</v>
      </c>
      <c r="BJ9" s="171">
        <f t="shared" si="7"/>
        <v>2.5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691</v>
      </c>
      <c r="B10" t="s">
        <v>559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0</v>
      </c>
      <c r="N10" s="175">
        <f>N6*[1]Protect!$B$14</f>
        <v>0</v>
      </c>
      <c r="O10" s="175">
        <f>O6*[1]Protect!$B$14</f>
        <v>0</v>
      </c>
      <c r="P10" s="175">
        <f>P6*[1]Protect!$B$14</f>
        <v>0</v>
      </c>
      <c r="Q10" s="175">
        <f>Q6*[1]Protect!$B$14</f>
        <v>0</v>
      </c>
      <c r="R10" s="175">
        <f>R6*[1]Protect!$B$14</f>
        <v>0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1</v>
      </c>
      <c r="AX10" s="30" t="str">
        <f>Parcellaire!D9</f>
        <v>proche</v>
      </c>
      <c r="AY10" s="30">
        <f>Parcellaire!F9</f>
        <v>317</v>
      </c>
      <c r="AZ10" s="30">
        <f>Parcellaire!G9</f>
        <v>7.5</v>
      </c>
      <c r="BA10" s="30">
        <f>ROUND(Parcellaire!S9,0)</f>
        <v>0</v>
      </c>
      <c r="BB10" s="30">
        <f>ROUND(Parcellaire!T9,0)</f>
        <v>1278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1">
        <f t="shared" si="4"/>
        <v>0</v>
      </c>
      <c r="BH10" s="171">
        <f t="shared" si="5"/>
        <v>1278</v>
      </c>
      <c r="BI10" s="171">
        <f t="shared" si="6"/>
        <v>0</v>
      </c>
      <c r="BJ10" s="171">
        <f t="shared" si="7"/>
        <v>0</v>
      </c>
      <c r="BK10" s="171">
        <f t="shared" si="8"/>
        <v>7.5</v>
      </c>
      <c r="BL10" s="171">
        <f t="shared" si="9"/>
        <v>0</v>
      </c>
    </row>
    <row r="11" spans="1:64" x14ac:dyDescent="0.25">
      <c r="A11" s="14" t="s">
        <v>692</v>
      </c>
      <c r="B11" t="s">
        <v>559</v>
      </c>
      <c r="C11" s="175">
        <f>SUM(C8:C10)</f>
        <v>2</v>
      </c>
      <c r="D11" s="175">
        <f t="shared" ref="D11:Z11" si="13">SUM(D8:D10)</f>
        <v>2</v>
      </c>
      <c r="E11" s="175">
        <f t="shared" si="13"/>
        <v>2</v>
      </c>
      <c r="F11" s="175">
        <f t="shared" si="13"/>
        <v>2</v>
      </c>
      <c r="G11" s="175">
        <f t="shared" si="13"/>
        <v>4</v>
      </c>
      <c r="H11" s="175">
        <f t="shared" si="13"/>
        <v>4</v>
      </c>
      <c r="I11" s="175">
        <f t="shared" si="13"/>
        <v>6</v>
      </c>
      <c r="J11" s="175">
        <f t="shared" si="13"/>
        <v>6</v>
      </c>
      <c r="K11" s="175">
        <f t="shared" si="13"/>
        <v>6</v>
      </c>
      <c r="L11" s="175">
        <f t="shared" si="13"/>
        <v>6</v>
      </c>
      <c r="M11" s="175">
        <f t="shared" si="13"/>
        <v>6</v>
      </c>
      <c r="N11" s="175">
        <f t="shared" si="13"/>
        <v>6</v>
      </c>
      <c r="O11" s="175">
        <f t="shared" si="13"/>
        <v>6</v>
      </c>
      <c r="P11" s="175">
        <f t="shared" si="13"/>
        <v>6</v>
      </c>
      <c r="Q11" s="175">
        <f t="shared" si="13"/>
        <v>6</v>
      </c>
      <c r="R11" s="175">
        <f t="shared" si="13"/>
        <v>6</v>
      </c>
      <c r="S11" s="175">
        <f t="shared" si="13"/>
        <v>6</v>
      </c>
      <c r="T11" s="175">
        <f t="shared" si="13"/>
        <v>6</v>
      </c>
      <c r="U11" s="175">
        <f t="shared" si="13"/>
        <v>6</v>
      </c>
      <c r="V11" s="175">
        <f t="shared" si="13"/>
        <v>6</v>
      </c>
      <c r="W11" s="175">
        <f t="shared" si="13"/>
        <v>4</v>
      </c>
      <c r="X11" s="175">
        <f t="shared" si="13"/>
        <v>4</v>
      </c>
      <c r="Y11" s="175">
        <f t="shared" si="13"/>
        <v>4</v>
      </c>
      <c r="Z11" s="175">
        <f t="shared" si="13"/>
        <v>2</v>
      </c>
      <c r="AB11" s="2" t="s">
        <v>693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694</v>
      </c>
      <c r="B12" t="s">
        <v>559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0</v>
      </c>
      <c r="N12" s="175">
        <f>N7*[1]Protect!$B$15</f>
        <v>0</v>
      </c>
      <c r="O12" s="175">
        <f>O7*[1]Protect!$B$15</f>
        <v>0</v>
      </c>
      <c r="P12" s="175">
        <f>P7*[1]Protect!$B$15</f>
        <v>0</v>
      </c>
      <c r="Q12" s="175">
        <f>Q7*[1]Protect!$B$15</f>
        <v>0</v>
      </c>
      <c r="R12" s="175">
        <f>R7*[1]Protect!$B$15</f>
        <v>0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695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130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3</v>
      </c>
      <c r="BL12" s="171">
        <f t="shared" si="9"/>
        <v>0</v>
      </c>
    </row>
    <row r="13" spans="1:64" x14ac:dyDescent="0.25">
      <c r="A13" s="14" t="s">
        <v>696</v>
      </c>
      <c r="B13" t="s">
        <v>559</v>
      </c>
      <c r="C13" s="175">
        <f>C11+C12</f>
        <v>2</v>
      </c>
      <c r="D13" s="175">
        <f t="shared" ref="D13:Z13" si="14">D11+D12</f>
        <v>2</v>
      </c>
      <c r="E13" s="175">
        <f t="shared" si="14"/>
        <v>2</v>
      </c>
      <c r="F13" s="175">
        <f t="shared" si="14"/>
        <v>2</v>
      </c>
      <c r="G13" s="175">
        <f t="shared" si="14"/>
        <v>4</v>
      </c>
      <c r="H13" s="175">
        <f t="shared" si="14"/>
        <v>4</v>
      </c>
      <c r="I13" s="175">
        <f t="shared" si="14"/>
        <v>6</v>
      </c>
      <c r="J13" s="175">
        <f t="shared" si="14"/>
        <v>6</v>
      </c>
      <c r="K13" s="175">
        <f t="shared" si="14"/>
        <v>6</v>
      </c>
      <c r="L13" s="175">
        <f t="shared" si="14"/>
        <v>6</v>
      </c>
      <c r="M13" s="175">
        <f t="shared" si="14"/>
        <v>6</v>
      </c>
      <c r="N13" s="175">
        <f t="shared" si="14"/>
        <v>6</v>
      </c>
      <c r="O13" s="175">
        <f t="shared" si="14"/>
        <v>6</v>
      </c>
      <c r="P13" s="175">
        <f t="shared" si="14"/>
        <v>6</v>
      </c>
      <c r="Q13" s="175">
        <f t="shared" si="14"/>
        <v>6</v>
      </c>
      <c r="R13" s="175">
        <f t="shared" si="14"/>
        <v>6</v>
      </c>
      <c r="S13" s="175">
        <f t="shared" si="14"/>
        <v>6</v>
      </c>
      <c r="T13" s="175">
        <f t="shared" si="14"/>
        <v>6</v>
      </c>
      <c r="U13" s="175">
        <f t="shared" si="14"/>
        <v>6</v>
      </c>
      <c r="V13" s="175">
        <f t="shared" si="14"/>
        <v>6</v>
      </c>
      <c r="W13" s="175">
        <f t="shared" si="14"/>
        <v>4</v>
      </c>
      <c r="X13" s="175">
        <f t="shared" si="14"/>
        <v>4</v>
      </c>
      <c r="Y13" s="175">
        <f t="shared" si="14"/>
        <v>4</v>
      </c>
      <c r="Z13" s="175">
        <f t="shared" si="14"/>
        <v>2</v>
      </c>
      <c r="AC13" s="14" t="s">
        <v>697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2</v>
      </c>
      <c r="BA13" s="30">
        <f>ROUND(Parcellaire!S12,0)</f>
        <v>0</v>
      </c>
      <c r="BB13" s="30">
        <f>ROUND(Parcellaire!T12,0)</f>
        <v>367</v>
      </c>
      <c r="BC13" s="30">
        <f>ROUND(Parcellaire!U12,0)</f>
        <v>524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367</v>
      </c>
      <c r="BI13" s="171">
        <f t="shared" si="6"/>
        <v>0</v>
      </c>
      <c r="BJ13" s="171">
        <f t="shared" si="7"/>
        <v>0</v>
      </c>
      <c r="BK13" s="171">
        <f t="shared" si="8"/>
        <v>2</v>
      </c>
      <c r="BL13" s="171">
        <f t="shared" si="9"/>
        <v>0</v>
      </c>
    </row>
    <row r="14" spans="1:64" x14ac:dyDescent="0.25">
      <c r="A14" s="43" t="s">
        <v>698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699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1.5</v>
      </c>
      <c r="BA14" s="30">
        <f>ROUND(Parcellaire!S13,0)</f>
        <v>0</v>
      </c>
      <c r="BB14" s="30">
        <f>ROUND(Parcellaire!T13,0)</f>
        <v>390</v>
      </c>
      <c r="BC14" s="30">
        <f>ROUND(Parcellaire!U13,0)</f>
        <v>260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390</v>
      </c>
      <c r="BI14" s="171">
        <f t="shared" si="6"/>
        <v>0</v>
      </c>
      <c r="BJ14" s="171">
        <f t="shared" si="7"/>
        <v>0</v>
      </c>
      <c r="BK14" s="171">
        <f t="shared" si="8"/>
        <v>1.5</v>
      </c>
      <c r="BL14" s="171">
        <f t="shared" si="9"/>
        <v>0</v>
      </c>
    </row>
    <row r="15" spans="1:64" x14ac:dyDescent="0.25">
      <c r="A15" s="176" t="s">
        <v>700</v>
      </c>
      <c r="B15" t="s">
        <v>559</v>
      </c>
      <c r="C15" s="171">
        <f t="shared" ref="C15:Z15" si="15">COUNTIF(C68:C77,0)</f>
        <v>1</v>
      </c>
      <c r="D15" s="171">
        <f t="shared" si="15"/>
        <v>1</v>
      </c>
      <c r="E15" s="171">
        <f t="shared" si="15"/>
        <v>1</v>
      </c>
      <c r="F15" s="171">
        <f t="shared" si="15"/>
        <v>1</v>
      </c>
      <c r="G15" s="171">
        <f t="shared" si="15"/>
        <v>2</v>
      </c>
      <c r="H15" s="171">
        <f t="shared" si="15"/>
        <v>2</v>
      </c>
      <c r="I15" s="171">
        <f t="shared" si="15"/>
        <v>2</v>
      </c>
      <c r="J15" s="171">
        <f t="shared" si="15"/>
        <v>2</v>
      </c>
      <c r="K15" s="171">
        <f t="shared" si="15"/>
        <v>4</v>
      </c>
      <c r="L15" s="171">
        <f t="shared" si="15"/>
        <v>4</v>
      </c>
      <c r="M15" s="171">
        <f t="shared" si="15"/>
        <v>4</v>
      </c>
      <c r="N15" s="171">
        <f t="shared" si="15"/>
        <v>4</v>
      </c>
      <c r="O15" s="171">
        <f t="shared" si="15"/>
        <v>4</v>
      </c>
      <c r="P15" s="171">
        <f t="shared" si="15"/>
        <v>4</v>
      </c>
      <c r="Q15" s="171">
        <f t="shared" si="15"/>
        <v>4</v>
      </c>
      <c r="R15" s="171">
        <f t="shared" si="15"/>
        <v>4</v>
      </c>
      <c r="S15" s="171">
        <f t="shared" si="15"/>
        <v>4</v>
      </c>
      <c r="T15" s="171">
        <f t="shared" si="15"/>
        <v>4</v>
      </c>
      <c r="U15" s="171">
        <f t="shared" si="15"/>
        <v>2</v>
      </c>
      <c r="V15" s="171">
        <f t="shared" si="15"/>
        <v>2</v>
      </c>
      <c r="W15" s="171">
        <f t="shared" si="15"/>
        <v>2</v>
      </c>
      <c r="X15" s="171">
        <f t="shared" si="15"/>
        <v>2</v>
      </c>
      <c r="Y15" s="171">
        <f t="shared" si="15"/>
        <v>2</v>
      </c>
      <c r="Z15" s="171">
        <f t="shared" si="15"/>
        <v>1</v>
      </c>
      <c r="AV15" s="30">
        <f>Parcellaire!A14</f>
        <v>12</v>
      </c>
      <c r="AW15" s="30">
        <f>Parcellaire!B14</f>
        <v>1</v>
      </c>
      <c r="AX15" s="30" t="str">
        <f>Parcellaire!D14</f>
        <v>éloigné</v>
      </c>
      <c r="AY15" s="30">
        <f>Parcellaire!F14</f>
        <v>317</v>
      </c>
      <c r="AZ15" s="30">
        <f>Parcellaire!G14</f>
        <v>0.6</v>
      </c>
      <c r="BA15" s="30">
        <f>ROUND(Parcellaire!S14,0)</f>
        <v>0</v>
      </c>
      <c r="BB15" s="30">
        <f>ROUND(Parcellaire!T14,0)</f>
        <v>180</v>
      </c>
      <c r="BC15" s="30">
        <f>ROUND(Parcellaire!U14,0)</f>
        <v>360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1">
        <f t="shared" si="4"/>
        <v>0</v>
      </c>
      <c r="BH15" s="171">
        <f t="shared" si="5"/>
        <v>0</v>
      </c>
      <c r="BI15" s="171">
        <f t="shared" si="6"/>
        <v>180</v>
      </c>
      <c r="BJ15" s="171">
        <f t="shared" si="7"/>
        <v>0</v>
      </c>
      <c r="BK15" s="171">
        <f t="shared" si="8"/>
        <v>0</v>
      </c>
      <c r="BL15" s="171">
        <f t="shared" si="9"/>
        <v>0.6</v>
      </c>
    </row>
    <row r="16" spans="1:64" x14ac:dyDescent="0.25">
      <c r="A16" s="176" t="s">
        <v>701</v>
      </c>
      <c r="B16" t="s">
        <v>559</v>
      </c>
      <c r="C16" s="171">
        <f t="shared" ref="C16:Z16" si="16">COUNTIF(C68:C77,1)</f>
        <v>2</v>
      </c>
      <c r="D16" s="171">
        <f t="shared" si="16"/>
        <v>2</v>
      </c>
      <c r="E16" s="171">
        <f t="shared" si="16"/>
        <v>2</v>
      </c>
      <c r="F16" s="171">
        <f t="shared" si="16"/>
        <v>3</v>
      </c>
      <c r="G16" s="171">
        <f t="shared" si="16"/>
        <v>3</v>
      </c>
      <c r="H16" s="171">
        <f t="shared" si="16"/>
        <v>3</v>
      </c>
      <c r="I16" s="171">
        <f t="shared" si="16"/>
        <v>2</v>
      </c>
      <c r="J16" s="171">
        <f t="shared" si="16"/>
        <v>2</v>
      </c>
      <c r="K16" s="171">
        <f t="shared" si="16"/>
        <v>1</v>
      </c>
      <c r="L16" s="171">
        <f t="shared" si="16"/>
        <v>1</v>
      </c>
      <c r="M16" s="171">
        <f t="shared" si="16"/>
        <v>1</v>
      </c>
      <c r="N16" s="171">
        <f t="shared" si="16"/>
        <v>1</v>
      </c>
      <c r="O16" s="171">
        <f t="shared" si="16"/>
        <v>1</v>
      </c>
      <c r="P16" s="171">
        <f t="shared" si="16"/>
        <v>1</v>
      </c>
      <c r="Q16" s="171">
        <f t="shared" si="16"/>
        <v>1</v>
      </c>
      <c r="R16" s="171">
        <f t="shared" si="16"/>
        <v>1</v>
      </c>
      <c r="S16" s="171">
        <f t="shared" si="16"/>
        <v>1</v>
      </c>
      <c r="T16" s="171">
        <f t="shared" si="16"/>
        <v>1</v>
      </c>
      <c r="U16" s="171">
        <f t="shared" si="16"/>
        <v>2</v>
      </c>
      <c r="V16" s="171">
        <f t="shared" si="16"/>
        <v>2</v>
      </c>
      <c r="W16" s="171">
        <f t="shared" si="16"/>
        <v>3</v>
      </c>
      <c r="X16" s="171">
        <f t="shared" si="16"/>
        <v>3</v>
      </c>
      <c r="Y16" s="171">
        <f t="shared" si="16"/>
        <v>2</v>
      </c>
      <c r="Z16" s="171">
        <f t="shared" si="16"/>
        <v>2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éloigné</v>
      </c>
      <c r="AY16" s="30">
        <f>Parcellaire!F15</f>
        <v>317</v>
      </c>
      <c r="AZ16" s="30">
        <f>Parcellaire!G15</f>
        <v>1.4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0</v>
      </c>
      <c r="BL16" s="171">
        <f t="shared" si="9"/>
        <v>1.4</v>
      </c>
    </row>
    <row r="17" spans="1:64" x14ac:dyDescent="0.25">
      <c r="A17" s="176" t="s">
        <v>702</v>
      </c>
      <c r="B17" t="s">
        <v>559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1</v>
      </c>
      <c r="J17" s="171">
        <f t="shared" si="17"/>
        <v>1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0</v>
      </c>
      <c r="P17" s="171">
        <f t="shared" si="17"/>
        <v>0</v>
      </c>
      <c r="Q17" s="171">
        <f t="shared" si="17"/>
        <v>0</v>
      </c>
      <c r="R17" s="171">
        <f t="shared" si="17"/>
        <v>0</v>
      </c>
      <c r="S17" s="171">
        <f t="shared" si="17"/>
        <v>0</v>
      </c>
      <c r="T17" s="171">
        <f t="shared" si="17"/>
        <v>0</v>
      </c>
      <c r="U17" s="171">
        <f t="shared" si="17"/>
        <v>1</v>
      </c>
      <c r="V17" s="171">
        <f t="shared" si="17"/>
        <v>1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703</v>
      </c>
      <c r="AD17" s="102" t="s">
        <v>704</v>
      </c>
      <c r="AE17" s="81"/>
      <c r="AF17" s="81"/>
      <c r="AH17" s="2" t="s">
        <v>705</v>
      </c>
      <c r="AK17" t="s">
        <v>706</v>
      </c>
      <c r="AV17" s="30">
        <f>Parcellaire!A16</f>
        <v>14</v>
      </c>
      <c r="AW17" s="30">
        <f>Parcellaire!B16</f>
        <v>1</v>
      </c>
      <c r="AX17" s="30" t="str">
        <f>Parcellaire!D16</f>
        <v>éloigné</v>
      </c>
      <c r="AY17" s="30">
        <f>Parcellaire!F16</f>
        <v>30</v>
      </c>
      <c r="AZ17" s="30">
        <f>Parcellaire!G16</f>
        <v>3</v>
      </c>
      <c r="BA17" s="30">
        <f>ROUND(Parcellaire!S16,0)</f>
        <v>0</v>
      </c>
      <c r="BB17" s="30">
        <f>ROUND(Parcellaire!T16,0)</f>
        <v>706</v>
      </c>
      <c r="BC17" s="30">
        <f>ROUND(Parcellaire!U16,0)</f>
        <v>128</v>
      </c>
      <c r="BD17" s="30" t="str">
        <f>IF(AW17=2,"",VLOOKUP(AY17,[1]MEP!$X$5:$AA$250,4))</f>
        <v>PT</v>
      </c>
      <c r="BE17" s="30" t="str">
        <f>IF(AW17=2,"",VLOOKUP(BD17,[1]MEP!$AC$5:$AD$10,2))</f>
        <v>P</v>
      </c>
      <c r="BF17" s="30" t="str">
        <f t="shared" si="3"/>
        <v>PE</v>
      </c>
      <c r="BG17" s="171">
        <f t="shared" si="4"/>
        <v>0</v>
      </c>
      <c r="BH17" s="171">
        <f t="shared" si="5"/>
        <v>0</v>
      </c>
      <c r="BI17" s="171">
        <f t="shared" si="6"/>
        <v>706</v>
      </c>
      <c r="BJ17" s="171">
        <f t="shared" si="7"/>
        <v>0</v>
      </c>
      <c r="BK17" s="171">
        <f t="shared" si="8"/>
        <v>0</v>
      </c>
      <c r="BL17" s="171">
        <f t="shared" si="9"/>
        <v>3</v>
      </c>
    </row>
    <row r="18" spans="1:64" x14ac:dyDescent="0.25">
      <c r="A18" s="176" t="s">
        <v>707</v>
      </c>
      <c r="B18" t="s">
        <v>559</v>
      </c>
      <c r="C18" s="62">
        <f>IF(AND(C15=0,(C16+C17)&gt;0),1,IF(AND(C15&gt;0,(C16+C17)&gt;0),C15+1,C15))</f>
        <v>2</v>
      </c>
      <c r="D18" s="62">
        <f t="shared" ref="D18:Z18" si="18">IF(AND(D15=0,(D16+D17)&gt;0),1,IF(AND(D15&gt;0,(D16+D17)&gt;0),D15+1,D15))</f>
        <v>2</v>
      </c>
      <c r="E18" s="62">
        <f t="shared" si="18"/>
        <v>2</v>
      </c>
      <c r="F18" s="62">
        <f t="shared" si="18"/>
        <v>2</v>
      </c>
      <c r="G18" s="62">
        <f t="shared" si="18"/>
        <v>3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5</v>
      </c>
      <c r="L18" s="62">
        <f t="shared" si="18"/>
        <v>5</v>
      </c>
      <c r="M18" s="62">
        <f t="shared" si="18"/>
        <v>5</v>
      </c>
      <c r="N18" s="62">
        <f t="shared" si="18"/>
        <v>5</v>
      </c>
      <c r="O18" s="62">
        <f t="shared" si="18"/>
        <v>5</v>
      </c>
      <c r="P18" s="62">
        <f t="shared" si="18"/>
        <v>5</v>
      </c>
      <c r="Q18" s="62">
        <f t="shared" si="18"/>
        <v>5</v>
      </c>
      <c r="R18" s="62">
        <f t="shared" si="18"/>
        <v>5</v>
      </c>
      <c r="S18" s="62">
        <f t="shared" si="18"/>
        <v>5</v>
      </c>
      <c r="T18" s="62">
        <f t="shared" si="18"/>
        <v>5</v>
      </c>
      <c r="U18" s="62">
        <f t="shared" si="18"/>
        <v>3</v>
      </c>
      <c r="V18" s="62">
        <f t="shared" si="18"/>
        <v>3</v>
      </c>
      <c r="W18" s="62">
        <f t="shared" si="18"/>
        <v>3</v>
      </c>
      <c r="X18" s="62">
        <f t="shared" si="18"/>
        <v>3</v>
      </c>
      <c r="Y18" s="62">
        <f t="shared" si="18"/>
        <v>3</v>
      </c>
      <c r="Z18" s="62">
        <f t="shared" si="18"/>
        <v>2</v>
      </c>
      <c r="AB18" s="22" t="s">
        <v>708</v>
      </c>
      <c r="AD18" s="120" t="s">
        <v>494</v>
      </c>
      <c r="AE18" s="81" t="s">
        <v>709</v>
      </c>
      <c r="AF18" s="120" t="s">
        <v>710</v>
      </c>
      <c r="AK18" t="s">
        <v>711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130</v>
      </c>
      <c r="AZ18" s="30">
        <f>Parcellaire!G17</f>
        <v>2.5</v>
      </c>
      <c r="BA18" s="30">
        <f>ROUND(Parcellaire!S17,0)</f>
        <v>0</v>
      </c>
      <c r="BB18" s="30">
        <f>ROUND(Parcellaire!T17,0)</f>
        <v>612</v>
      </c>
      <c r="BC18" s="30">
        <f>ROUND(Parcellaire!U17,0)</f>
        <v>245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612</v>
      </c>
      <c r="BI18" s="171">
        <f t="shared" si="6"/>
        <v>0</v>
      </c>
      <c r="BJ18" s="171">
        <f t="shared" si="7"/>
        <v>0</v>
      </c>
      <c r="BK18" s="171">
        <f t="shared" si="8"/>
        <v>2.5</v>
      </c>
      <c r="BL18" s="171">
        <f t="shared" si="9"/>
        <v>0</v>
      </c>
    </row>
    <row r="19" spans="1:64" x14ac:dyDescent="0.25">
      <c r="A19" s="176" t="s">
        <v>712</v>
      </c>
      <c r="B19" t="s">
        <v>559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704</v>
      </c>
      <c r="AK19" s="169" t="s">
        <v>714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130</v>
      </c>
      <c r="AZ19" s="30">
        <f>Parcellaire!G18</f>
        <v>4.5</v>
      </c>
      <c r="BA19" s="30">
        <f>ROUND(Parcellaire!S18,0)</f>
        <v>0</v>
      </c>
      <c r="BB19" s="30">
        <f>ROUND(Parcellaire!T18,0)</f>
        <v>689</v>
      </c>
      <c r="BC19" s="30">
        <f>ROUND(Parcellaire!U18,0)</f>
        <v>689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689</v>
      </c>
      <c r="BI19" s="171">
        <f t="shared" si="6"/>
        <v>0</v>
      </c>
      <c r="BJ19" s="171">
        <f t="shared" si="7"/>
        <v>0</v>
      </c>
      <c r="BK19" s="171">
        <f t="shared" si="8"/>
        <v>4.5</v>
      </c>
      <c r="BL19" s="171">
        <f t="shared" si="9"/>
        <v>0</v>
      </c>
    </row>
    <row r="20" spans="1:64" x14ac:dyDescent="0.25">
      <c r="A20" s="176" t="s">
        <v>715</v>
      </c>
      <c r="B20" t="s">
        <v>559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0</v>
      </c>
      <c r="N20" s="171">
        <f t="shared" si="20"/>
        <v>0</v>
      </c>
      <c r="O20" s="171">
        <f t="shared" si="20"/>
        <v>0</v>
      </c>
      <c r="P20" s="171">
        <f t="shared" si="20"/>
        <v>0</v>
      </c>
      <c r="Q20" s="171">
        <f t="shared" si="20"/>
        <v>0</v>
      </c>
      <c r="R20" s="171">
        <f t="shared" si="20"/>
        <v>0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717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proche</v>
      </c>
      <c r="AY20" s="30">
        <f>Parcellaire!F19</f>
        <v>318</v>
      </c>
      <c r="AZ20" s="30">
        <f>Parcellaire!G19</f>
        <v>3</v>
      </c>
      <c r="BA20" s="30">
        <f>ROUND(Parcellaire!S19,0)</f>
        <v>0</v>
      </c>
      <c r="BB20" s="30">
        <f>ROUND(Parcellaire!T19,0)</f>
        <v>704</v>
      </c>
      <c r="BC20" s="30">
        <f>ROUND(Parcellaire!U19,0)</f>
        <v>281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1">
        <f t="shared" si="4"/>
        <v>0</v>
      </c>
      <c r="BH20" s="171">
        <f t="shared" si="5"/>
        <v>704</v>
      </c>
      <c r="BI20" s="171">
        <f t="shared" si="6"/>
        <v>0</v>
      </c>
      <c r="BJ20" s="171">
        <f t="shared" si="7"/>
        <v>0</v>
      </c>
      <c r="BK20" s="171">
        <f t="shared" si="8"/>
        <v>3</v>
      </c>
      <c r="BL20" s="171">
        <f t="shared" si="9"/>
        <v>0</v>
      </c>
    </row>
    <row r="21" spans="1:64" x14ac:dyDescent="0.25">
      <c r="A21" s="176" t="s">
        <v>718</v>
      </c>
      <c r="B21" t="s">
        <v>559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719</v>
      </c>
      <c r="AC21" s="14"/>
      <c r="AD21" s="64"/>
      <c r="AE21" s="64"/>
      <c r="AF21" s="64"/>
      <c r="AJ21" s="14" t="s">
        <v>720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80</v>
      </c>
      <c r="AZ21" s="30">
        <f>Parcellaire!G20</f>
        <v>1</v>
      </c>
      <c r="BA21" s="30">
        <f>ROUND(Parcellaire!S20,0)</f>
        <v>0</v>
      </c>
      <c r="BB21" s="30">
        <f>ROUND(Parcellaire!T20,0)</f>
        <v>233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233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721</v>
      </c>
      <c r="B22" t="s">
        <v>559</v>
      </c>
      <c r="C22" s="62">
        <f>C18+C19+C21</f>
        <v>2</v>
      </c>
      <c r="D22" s="62">
        <f t="shared" ref="D22:Z22" si="21">D18+D19+D21</f>
        <v>2</v>
      </c>
      <c r="E22" s="62">
        <f t="shared" si="21"/>
        <v>2</v>
      </c>
      <c r="F22" s="62">
        <f t="shared" si="21"/>
        <v>2</v>
      </c>
      <c r="G22" s="62">
        <f t="shared" si="21"/>
        <v>3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5</v>
      </c>
      <c r="L22" s="62">
        <f t="shared" si="21"/>
        <v>5</v>
      </c>
      <c r="M22" s="62">
        <f t="shared" si="21"/>
        <v>5</v>
      </c>
      <c r="N22" s="62">
        <f t="shared" si="21"/>
        <v>5</v>
      </c>
      <c r="O22" s="62">
        <f t="shared" si="21"/>
        <v>5</v>
      </c>
      <c r="P22" s="62">
        <f t="shared" si="21"/>
        <v>5</v>
      </c>
      <c r="Q22" s="62">
        <f t="shared" si="21"/>
        <v>5</v>
      </c>
      <c r="R22" s="62">
        <f t="shared" si="21"/>
        <v>5</v>
      </c>
      <c r="S22" s="62">
        <f t="shared" si="21"/>
        <v>5</v>
      </c>
      <c r="T22" s="62">
        <f t="shared" si="21"/>
        <v>5</v>
      </c>
      <c r="U22" s="62">
        <f t="shared" si="21"/>
        <v>3</v>
      </c>
      <c r="V22" s="62">
        <f t="shared" si="21"/>
        <v>3</v>
      </c>
      <c r="W22" s="62">
        <f t="shared" si="21"/>
        <v>3</v>
      </c>
      <c r="X22" s="62">
        <f t="shared" si="21"/>
        <v>3</v>
      </c>
      <c r="Y22" s="62">
        <f t="shared" si="21"/>
        <v>3</v>
      </c>
      <c r="Z22" s="62">
        <f t="shared" si="21"/>
        <v>2</v>
      </c>
      <c r="AC22" s="14" t="s">
        <v>716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705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318</v>
      </c>
      <c r="AZ22" s="30">
        <f>Parcellaire!G21</f>
        <v>4</v>
      </c>
      <c r="BA22" s="30">
        <f>ROUND(Parcellaire!S21,0)</f>
        <v>0</v>
      </c>
      <c r="BB22" s="30">
        <f>ROUND(Parcellaire!T21,0)</f>
        <v>731</v>
      </c>
      <c r="BC22" s="30">
        <f>ROUND(Parcellaire!U21,0)</f>
        <v>487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1">
        <f t="shared" si="4"/>
        <v>0</v>
      </c>
      <c r="BH22" s="171">
        <f t="shared" si="5"/>
        <v>731</v>
      </c>
      <c r="BI22" s="171">
        <f t="shared" si="6"/>
        <v>0</v>
      </c>
      <c r="BJ22" s="171">
        <f t="shared" si="7"/>
        <v>0</v>
      </c>
      <c r="BK22" s="171">
        <f t="shared" si="8"/>
        <v>4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1</v>
      </c>
      <c r="AX23" s="30" t="str">
        <f>Parcellaire!D22</f>
        <v>proche</v>
      </c>
      <c r="AY23" s="30">
        <f>Parcellaire!F22</f>
        <v>318</v>
      </c>
      <c r="AZ23" s="30">
        <f>Parcellaire!G22</f>
        <v>3</v>
      </c>
      <c r="BA23" s="30">
        <f>ROUND(Parcellaire!S22,0)</f>
        <v>0</v>
      </c>
      <c r="BB23" s="30">
        <f>ROUND(Parcellaire!T22,0)</f>
        <v>0</v>
      </c>
      <c r="BC23" s="30">
        <f>ROUND(Parcellaire!U22,0)</f>
        <v>0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3</v>
      </c>
      <c r="BL23" s="171">
        <f t="shared" si="9"/>
        <v>0</v>
      </c>
    </row>
    <row r="24" spans="1:64" x14ac:dyDescent="0.25">
      <c r="A24" s="43" t="s">
        <v>722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318</v>
      </c>
      <c r="AZ24" s="30">
        <f>Parcellaire!G23</f>
        <v>2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2</v>
      </c>
      <c r="BL24" s="171">
        <f t="shared" si="9"/>
        <v>0</v>
      </c>
    </row>
    <row r="25" spans="1:64" x14ac:dyDescent="0.25">
      <c r="A25" s="14" t="s">
        <v>723</v>
      </c>
      <c r="B25" t="s">
        <v>573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318</v>
      </c>
      <c r="AZ25" s="30">
        <f>Parcellaire!G24</f>
        <v>3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3</v>
      </c>
      <c r="BL25" s="171">
        <f t="shared" si="9"/>
        <v>0</v>
      </c>
    </row>
    <row r="26" spans="1:64" x14ac:dyDescent="0.25">
      <c r="A26" s="14" t="s">
        <v>682</v>
      </c>
      <c r="B26" t="s">
        <v>573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725</v>
      </c>
      <c r="AC26" s="14"/>
      <c r="AD26" s="169" t="s">
        <v>494</v>
      </c>
      <c r="AE26" t="s">
        <v>726</v>
      </c>
      <c r="AJ26" s="14" t="s">
        <v>667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318</v>
      </c>
      <c r="AZ26" s="30">
        <f>Parcellaire!G25</f>
        <v>1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1</v>
      </c>
      <c r="BL26" s="171">
        <f t="shared" si="9"/>
        <v>0</v>
      </c>
    </row>
    <row r="27" spans="1:64" x14ac:dyDescent="0.25">
      <c r="A27" s="14" t="s">
        <v>684</v>
      </c>
      <c r="B27" t="s">
        <v>573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727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318</v>
      </c>
      <c r="AZ27" s="30">
        <f>Parcellaire!G26</f>
        <v>1</v>
      </c>
      <c r="BA27" s="30">
        <f>ROUND(Parcellaire!S26,0)</f>
        <v>0</v>
      </c>
      <c r="BB27" s="30">
        <f>ROUND(Parcellaire!T26,0)</f>
        <v>0</v>
      </c>
      <c r="BC27" s="30">
        <f>ROUND(Parcellaire!U26,0)</f>
        <v>0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1</v>
      </c>
      <c r="BL27" s="171">
        <f t="shared" si="9"/>
        <v>0</v>
      </c>
    </row>
    <row r="28" spans="1:64" x14ac:dyDescent="0.25">
      <c r="A28" s="14" t="s">
        <v>686</v>
      </c>
      <c r="B28" t="s">
        <v>573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728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éloigné</v>
      </c>
      <c r="AY28" s="30">
        <f>Parcellaire!F27</f>
        <v>228</v>
      </c>
      <c r="AZ28" s="30">
        <f>Parcellaire!G27</f>
        <v>6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PE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6</v>
      </c>
    </row>
    <row r="29" spans="1:64" x14ac:dyDescent="0.25">
      <c r="A29" s="14" t="s">
        <v>688</v>
      </c>
      <c r="B29" t="s">
        <v>573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729</v>
      </c>
      <c r="AD29" s="171">
        <f>IF(Troupeau!B3="OL",Scénario!K59-1,0)</f>
        <v>0</v>
      </c>
      <c r="AV29" s="30">
        <f>Parcellaire!A28</f>
        <v>27</v>
      </c>
      <c r="AW29" s="30">
        <f>Parcellaire!B28</f>
        <v>1</v>
      </c>
      <c r="AX29" s="30" t="str">
        <f>Parcellaire!D28</f>
        <v>éloigné</v>
      </c>
      <c r="AY29" s="30">
        <f>Parcellaire!F28</f>
        <v>228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3"/>
        <v>PE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2</v>
      </c>
    </row>
    <row r="30" spans="1:64" x14ac:dyDescent="0.25">
      <c r="A30" s="14" t="s">
        <v>690</v>
      </c>
      <c r="B30" t="s">
        <v>573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730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1</v>
      </c>
      <c r="AX30" s="30" t="str">
        <f>Parcellaire!D29</f>
        <v>éloigné</v>
      </c>
      <c r="AY30" s="30">
        <f>Parcellaire!F29</f>
        <v>228</v>
      </c>
      <c r="AZ30" s="30">
        <f>Parcellaire!G29</f>
        <v>3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3"/>
        <v>PE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3</v>
      </c>
    </row>
    <row r="31" spans="1:64" x14ac:dyDescent="0.25">
      <c r="A31" s="14" t="s">
        <v>691</v>
      </c>
      <c r="B31" t="s">
        <v>573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731</v>
      </c>
      <c r="AD31" s="171">
        <f>IF(AD30=0,0,1)</f>
        <v>0</v>
      </c>
      <c r="BG31" s="62">
        <f>SUM(BG3:BG30)</f>
        <v>551</v>
      </c>
      <c r="BH31" s="62">
        <f t="shared" ref="BH31:BK31" si="26">SUM(BH3:BH30)</f>
        <v>5951</v>
      </c>
      <c r="BI31" s="62">
        <f t="shared" si="26"/>
        <v>886</v>
      </c>
      <c r="BJ31" s="62">
        <f t="shared" si="26"/>
        <v>2.5</v>
      </c>
      <c r="BK31" s="62">
        <f t="shared" si="26"/>
        <v>49.5</v>
      </c>
      <c r="BL31" s="62">
        <f>SUM(BL3:BL30)</f>
        <v>16</v>
      </c>
    </row>
    <row r="32" spans="1:64" x14ac:dyDescent="0.25">
      <c r="A32" s="14" t="s">
        <v>692</v>
      </c>
      <c r="B32" t="s">
        <v>573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732</v>
      </c>
    </row>
    <row r="33" spans="1:132" x14ac:dyDescent="0.25">
      <c r="A33" s="14" t="s">
        <v>694</v>
      </c>
      <c r="B33" t="s">
        <v>573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733</v>
      </c>
      <c r="AE33" s="171">
        <f>IF(OR(Scénario!K12="OL/BV",Scénario!K12="OL/EQ",Scénario!K12="BV",Scénario!K12="OL/BV/EQ"),Protection!AP7,0)</f>
        <v>0</v>
      </c>
    </row>
    <row r="34" spans="1:132" x14ac:dyDescent="0.25">
      <c r="A34" s="14" t="s">
        <v>696</v>
      </c>
      <c r="B34" t="s">
        <v>573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700</v>
      </c>
      <c r="B36" t="s">
        <v>573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701</v>
      </c>
      <c r="B37" t="s">
        <v>573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702</v>
      </c>
      <c r="B38" t="s">
        <v>573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707</v>
      </c>
      <c r="B39" t="s">
        <v>573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712</v>
      </c>
      <c r="B40" t="s">
        <v>573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715</v>
      </c>
      <c r="B41" t="s">
        <v>573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718</v>
      </c>
      <c r="B42" t="s">
        <v>573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721</v>
      </c>
      <c r="B43" t="s">
        <v>573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723</v>
      </c>
      <c r="B46" t="s">
        <v>580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682</v>
      </c>
      <c r="B47" t="s">
        <v>580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684</v>
      </c>
      <c r="B48" t="s">
        <v>580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1</v>
      </c>
      <c r="BC48" s="180">
        <f>IF(CdTrp1!I76=1,1,IF(CdTrp1!I76=2,2,IF(CdTrp1!I76=3,2,0)))</f>
        <v>1</v>
      </c>
      <c r="BD48" s="180">
        <f>IF(CdTrp1!J76=1,1,IF(CdTrp1!J76=2,2,IF(CdTrp1!J76=3,2,0)))</f>
        <v>1</v>
      </c>
      <c r="BE48" s="180">
        <f>IF(CdTrp1!K76=1,1,IF(CdTrp1!K76=2,2,IF(CdTrp1!K76=3,2,0)))</f>
        <v>1</v>
      </c>
      <c r="BF48" s="180">
        <f>IF(CdTrp1!L76=1,1,IF(CdTrp1!L76=2,2,IF(CdTrp1!L76=3,2,0)))</f>
        <v>1</v>
      </c>
      <c r="BG48" s="180">
        <f>IF(CdTrp1!M76=1,1,IF(CdTrp1!M76=2,2,IF(CdTrp1!M76=3,2,0)))</f>
        <v>1</v>
      </c>
      <c r="BH48" s="180">
        <f>IF(CdTrp1!N76=1,1,IF(CdTrp1!N76=2,2,IF(CdTrp1!N76=3,2,0)))</f>
        <v>1</v>
      </c>
      <c r="BI48" s="180">
        <f>IF(CdTrp1!O76=1,1,IF(CdTrp1!O76=2,2,IF(CdTrp1!O76=3,2,0)))</f>
        <v>1</v>
      </c>
      <c r="BJ48" s="180">
        <f>IF(CdTrp1!P76=1,1,IF(CdTrp1!P76=2,2,IF(CdTrp1!P76=3,2,0)))</f>
        <v>1</v>
      </c>
      <c r="BK48" s="180">
        <f>IF(CdTrp1!Q76=1,1,IF(CdTrp1!Q76=2,2,IF(CdTrp1!Q76=3,2,0)))</f>
        <v>1</v>
      </c>
      <c r="BL48" s="180">
        <f>IF(CdTrp1!R76=1,1,IF(CdTrp1!R76=2,2,IF(CdTrp1!R76=3,2,0)))</f>
        <v>1</v>
      </c>
      <c r="BM48" s="180">
        <f>IF(CdTrp1!S76=1,1,IF(CdTrp1!S76=2,2,IF(CdTrp1!S76=3,2,0)))</f>
        <v>1</v>
      </c>
      <c r="BN48" s="180">
        <f>IF(CdTrp1!T76=1,1,IF(CdTrp1!T76=2,2,IF(CdTrp1!T76=3,2,0)))</f>
        <v>1</v>
      </c>
      <c r="BO48" s="180">
        <f>IF(CdTrp1!U76=1,1,IF(CdTrp1!U76=2,2,IF(CdTrp1!U76=3,2,0)))</f>
        <v>1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686</v>
      </c>
      <c r="B49" t="s">
        <v>580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1</v>
      </c>
      <c r="AW49" s="180">
        <f>IF(CdTrp1!C77=1,1,IF(CdTrp1!C77=2,2,IF(CdTrp1!C77=3,2,0)))</f>
        <v>1</v>
      </c>
      <c r="AX49" s="180">
        <f>IF(CdTrp1!D77=1,1,IF(CdTrp1!D77=2,2,IF(CdTrp1!D77=3,2,0)))</f>
        <v>1</v>
      </c>
      <c r="AY49" s="180">
        <f>IF(CdTrp1!E77=1,1,IF(CdTrp1!E77=2,2,IF(CdTrp1!E77=3,2,0)))</f>
        <v>1</v>
      </c>
      <c r="AZ49" s="180">
        <f>IF(CdTrp1!F77=1,1,IF(CdTrp1!F77=2,2,IF(CdTrp1!F77=3,2,0)))</f>
        <v>2</v>
      </c>
      <c r="BA49" s="180">
        <f>IF(CdTrp1!G77=1,1,IF(CdTrp1!G77=2,2,IF(CdTrp1!G77=3,2,0)))</f>
        <v>2</v>
      </c>
      <c r="BB49" s="180">
        <f>IF(CdTrp1!H77=1,1,IF(CdTrp1!H77=2,2,IF(CdTrp1!H77=3,2,0)))</f>
        <v>2</v>
      </c>
      <c r="BC49" s="180">
        <f>IF(CdTrp1!I77=1,1,IF(CdTrp1!I77=2,2,IF(CdTrp1!I77=3,2,0)))</f>
        <v>2</v>
      </c>
      <c r="BD49" s="180">
        <f>IF(CdTrp1!J77=1,1,IF(CdTrp1!J77=2,2,IF(CdTrp1!J77=3,2,0)))</f>
        <v>2</v>
      </c>
      <c r="BE49" s="180">
        <f>IF(CdTrp1!K77=1,1,IF(CdTrp1!K77=2,2,IF(CdTrp1!K77=3,2,0)))</f>
        <v>2</v>
      </c>
      <c r="BF49" s="180">
        <f>IF(CdTrp1!L77=1,1,IF(CdTrp1!L77=2,2,IF(CdTrp1!L77=3,2,0)))</f>
        <v>2</v>
      </c>
      <c r="BG49" s="180">
        <f>IF(CdTrp1!M77=1,1,IF(CdTrp1!M77=2,2,IF(CdTrp1!M77=3,2,0)))</f>
        <v>2</v>
      </c>
      <c r="BH49" s="180">
        <f>IF(CdTrp1!N77=1,1,IF(CdTrp1!N77=2,2,IF(CdTrp1!N77=3,2,0)))</f>
        <v>2</v>
      </c>
      <c r="BI49" s="180">
        <f>IF(CdTrp1!O77=1,1,IF(CdTrp1!O77=2,2,IF(CdTrp1!O77=3,2,0)))</f>
        <v>2</v>
      </c>
      <c r="BJ49" s="180">
        <f>IF(CdTrp1!P77=1,1,IF(CdTrp1!P77=2,2,IF(CdTrp1!P77=3,2,0)))</f>
        <v>2</v>
      </c>
      <c r="BK49" s="180">
        <f>IF(CdTrp1!Q77=1,1,IF(CdTrp1!Q77=2,2,IF(CdTrp1!Q77=3,2,0)))</f>
        <v>2</v>
      </c>
      <c r="BL49" s="180">
        <f>IF(CdTrp1!R77=1,1,IF(CdTrp1!R77=2,2,IF(CdTrp1!R77=3,2,0)))</f>
        <v>2</v>
      </c>
      <c r="BM49" s="180">
        <f>IF(CdTrp1!S77=1,1,IF(CdTrp1!S77=2,2,IF(CdTrp1!S77=3,2,0)))</f>
        <v>2</v>
      </c>
      <c r="BN49" s="180">
        <f>IF(CdTrp1!T77=1,1,IF(CdTrp1!T77=2,2,IF(CdTrp1!T77=3,2,0)))</f>
        <v>2</v>
      </c>
      <c r="BO49" s="180">
        <f>IF(CdTrp1!U77=1,1,IF(CdTrp1!U77=2,2,IF(CdTrp1!U77=3,2,0)))</f>
        <v>2</v>
      </c>
      <c r="BP49" s="180">
        <f>IF(CdTrp1!V77=1,1,IF(CdTrp1!V77=2,2,IF(CdTrp1!V77=3,2,0)))</f>
        <v>2</v>
      </c>
      <c r="BQ49" s="180">
        <f>IF(CdTrp1!W77=1,1,IF(CdTrp1!W77=2,2,IF(CdTrp1!W77=3,2,0)))</f>
        <v>1</v>
      </c>
      <c r="BR49" s="180">
        <f>IF(CdTrp1!X77=1,1,IF(CdTrp1!X77=2,2,IF(CdTrp1!X77=3,2,0)))</f>
        <v>1</v>
      </c>
      <c r="BS49" s="180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688</v>
      </c>
      <c r="B50" t="s">
        <v>580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0</v>
      </c>
      <c r="BI50" s="180">
        <f>IF(CdTrp1!O78=1,1,IF(CdTrp1!O78=2,2,IF(CdTrp1!O78=3,2,0)))</f>
        <v>0</v>
      </c>
      <c r="BJ50" s="180">
        <f>IF(CdTrp1!P78=1,1,IF(CdTrp1!P78=2,2,IF(CdTrp1!P78=3,2,0)))</f>
        <v>0</v>
      </c>
      <c r="BK50" s="180">
        <f>IF(CdTrp1!Q78=1,1,IF(CdTrp1!Q78=2,2,IF(CdTrp1!Q78=3,2,0)))</f>
        <v>0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690</v>
      </c>
      <c r="B51" t="s">
        <v>580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1</v>
      </c>
      <c r="BA51" s="180">
        <f>IF(CdTrp1!G79=1,1,IF(CdTrp1!G79=2,2,IF(CdTrp1!G79=3,2,0)))</f>
        <v>1</v>
      </c>
      <c r="BB51" s="180">
        <f>IF(CdTrp1!H79=1,1,IF(CdTrp1!H79=2,2,IF(CdTrp1!H79=3,2,0)))</f>
        <v>1</v>
      </c>
      <c r="BC51" s="180">
        <f>IF(CdTrp1!I79=1,1,IF(CdTrp1!I79=2,2,IF(CdTrp1!I79=3,2,0)))</f>
        <v>1</v>
      </c>
      <c r="BD51" s="180">
        <f>IF(CdTrp1!J79=1,1,IF(CdTrp1!J79=2,2,IF(CdTrp1!J79=3,2,0)))</f>
        <v>1</v>
      </c>
      <c r="BE51" s="180">
        <f>IF(CdTrp1!K79=1,1,IF(CdTrp1!K79=2,2,IF(CdTrp1!K79=3,2,0)))</f>
        <v>1</v>
      </c>
      <c r="BF51" s="180">
        <f>IF(CdTrp1!L79=1,1,IF(CdTrp1!L79=2,2,IF(CdTrp1!L79=3,2,0)))</f>
        <v>1</v>
      </c>
      <c r="BG51" s="180">
        <f>IF(CdTrp1!M79=1,1,IF(CdTrp1!M79=2,2,IF(CdTrp1!M79=3,2,0)))</f>
        <v>1</v>
      </c>
      <c r="BH51" s="180">
        <f>IF(CdTrp1!N79=1,1,IF(CdTrp1!N79=2,2,IF(CdTrp1!N79=3,2,0)))</f>
        <v>1</v>
      </c>
      <c r="BI51" s="180">
        <f>IF(CdTrp1!O79=1,1,IF(CdTrp1!O79=2,2,IF(CdTrp1!O79=3,2,0)))</f>
        <v>1</v>
      </c>
      <c r="BJ51" s="180">
        <f>IF(CdTrp1!P79=1,1,IF(CdTrp1!P79=2,2,IF(CdTrp1!P79=3,2,0)))</f>
        <v>1</v>
      </c>
      <c r="BK51" s="180">
        <f>IF(CdTrp1!Q79=1,1,IF(CdTrp1!Q79=2,2,IF(CdTrp1!Q79=3,2,0)))</f>
        <v>1</v>
      </c>
      <c r="BL51" s="180">
        <f>IF(CdTrp1!R79=1,1,IF(CdTrp1!R79=2,2,IF(CdTrp1!R79=3,2,0)))</f>
        <v>1</v>
      </c>
      <c r="BM51" s="180">
        <f>IF(CdTrp1!S79=1,1,IF(CdTrp1!S79=2,2,IF(CdTrp1!S79=3,2,0)))</f>
        <v>1</v>
      </c>
      <c r="BN51" s="180">
        <f>IF(CdTrp1!T79=1,1,IF(CdTrp1!T79=2,2,IF(CdTrp1!T79=3,2,0)))</f>
        <v>1</v>
      </c>
      <c r="BO51" s="180">
        <f>IF(CdTrp1!U79=1,1,IF(CdTrp1!U79=2,2,IF(CdTrp1!U79=3,2,0)))</f>
        <v>1</v>
      </c>
      <c r="BP51" s="180">
        <f>IF(CdTrp1!V79=1,1,IF(CdTrp1!V79=2,2,IF(CdTrp1!V79=3,2,0)))</f>
        <v>1</v>
      </c>
      <c r="BQ51" s="180">
        <f>IF(CdTrp1!W79=1,1,IF(CdTrp1!W79=2,2,IF(CdTrp1!W79=3,2,0)))</f>
        <v>1</v>
      </c>
      <c r="BR51" s="180">
        <f>IF(CdTrp1!X79=1,1,IF(CdTrp1!X79=2,2,IF(CdTrp1!X79=3,2,0)))</f>
        <v>1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691</v>
      </c>
      <c r="B52" t="s">
        <v>580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692</v>
      </c>
      <c r="B53" t="s">
        <v>580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694</v>
      </c>
      <c r="B54" t="s">
        <v>580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696</v>
      </c>
      <c r="B55" t="s">
        <v>580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700</v>
      </c>
      <c r="B57" t="s">
        <v>580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701</v>
      </c>
      <c r="B58" t="s">
        <v>580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702</v>
      </c>
      <c r="B59" t="s">
        <v>580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707</v>
      </c>
      <c r="B60" t="s">
        <v>580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712</v>
      </c>
      <c r="B61" t="s">
        <v>580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715</v>
      </c>
      <c r="B62" t="s">
        <v>580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718</v>
      </c>
      <c r="B63" t="s">
        <v>580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721</v>
      </c>
      <c r="B64" t="s">
        <v>580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737</v>
      </c>
      <c r="AV67" s="170"/>
      <c r="AW67" s="170"/>
    </row>
    <row r="68" spans="1:49" x14ac:dyDescent="0.25">
      <c r="A68" s="40" t="s">
        <v>738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0.5</v>
      </c>
      <c r="J68" s="171">
        <f>IF($AA68=0,99,IF(J81&gt;3,CdTrp1!I76,CdTrp1!I52))</f>
        <v>0.5</v>
      </c>
      <c r="K68" s="171">
        <f>IF($AA68=0,99,IF(K81&gt;3,CdTrp1!J76,CdTrp1!J52))</f>
        <v>0</v>
      </c>
      <c r="L68" s="171">
        <f>IF($AA68=0,99,IF(L81&gt;3,CdTrp1!K76,CdTrp1!K52))</f>
        <v>0</v>
      </c>
      <c r="M68" s="171">
        <f>IF($AA68=0,99,IF(M81&gt;3,CdTrp1!L76,CdTrp1!L52))</f>
        <v>0</v>
      </c>
      <c r="N68" s="171">
        <f>IF($AA68=0,99,IF(N81&gt;3,CdTrp1!M76,CdTrp1!M52))</f>
        <v>0</v>
      </c>
      <c r="O68" s="171">
        <f>IF($AA68=0,99,IF(O81&gt;3,CdTrp1!N76,CdTrp1!N52))</f>
        <v>0</v>
      </c>
      <c r="P68" s="171">
        <f>IF($AA68=0,99,IF(P81&gt;3,CdTrp1!O76,CdTrp1!O52))</f>
        <v>0</v>
      </c>
      <c r="Q68" s="171">
        <f>IF($AA68=0,99,IF(Q81&gt;3,CdTrp1!P76,CdTrp1!P52))</f>
        <v>0</v>
      </c>
      <c r="R68" s="171">
        <f>IF($AA68=0,99,IF(R81&gt;3,CdTrp1!Q76,CdTrp1!Q52))</f>
        <v>0</v>
      </c>
      <c r="S68" s="171">
        <f>IF($AA68=0,99,IF(S81&gt;3,CdTrp1!R76,CdTrp1!R52))</f>
        <v>0</v>
      </c>
      <c r="T68" s="171">
        <f>IF($AA68=0,99,IF(T81&gt;3,CdTrp1!S76,CdTrp1!S52))</f>
        <v>0</v>
      </c>
      <c r="U68" s="171">
        <f>IF($AA68=0,99,IF(U81&gt;3,CdTrp1!T76,CdTrp1!T52))</f>
        <v>0.5</v>
      </c>
      <c r="V68" s="171">
        <f>IF($AA68=0,99,IF(V81&gt;3,CdTrp1!U76,CdTrp1!U52))</f>
        <v>0.5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37.023333333333333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0</v>
      </c>
      <c r="D69" s="171">
        <f>IF($AA69=0,99,IF(D82&gt;3,CdTrp1!C77,CdTrp1!C53))</f>
        <v>0</v>
      </c>
      <c r="E69" s="171">
        <f>IF($AA69=0,99,IF(E82&gt;3,CdTrp1!D77,CdTrp1!D53))</f>
        <v>0</v>
      </c>
      <c r="F69" s="171">
        <f>IF($AA69=0,99,IF(F82&gt;3,CdTrp1!E77,CdTrp1!E53))</f>
        <v>0</v>
      </c>
      <c r="G69" s="171">
        <f>IF($AA69=0,99,IF(G82&gt;3,CdTrp1!F77,CdTrp1!F53))</f>
        <v>0</v>
      </c>
      <c r="H69" s="171">
        <f>IF($AA69=0,99,IF(H82&gt;3,CdTrp1!G77,CdTrp1!G53))</f>
        <v>0</v>
      </c>
      <c r="I69" s="171">
        <f>IF($AA69=0,99,IF(I82&gt;3,CdTrp1!H77,CdTrp1!H53))</f>
        <v>0</v>
      </c>
      <c r="J69" s="171">
        <f>IF($AA69=0,99,IF(J82&gt;3,CdTrp1!I77,CdTrp1!I53))</f>
        <v>0</v>
      </c>
      <c r="K69" s="171">
        <f>IF($AA69=0,99,IF(K82&gt;3,CdTrp1!J77,CdTrp1!J53))</f>
        <v>0</v>
      </c>
      <c r="L69" s="171">
        <f>IF($AA69=0,99,IF(L82&gt;3,CdTrp1!K77,CdTrp1!K53))</f>
        <v>0</v>
      </c>
      <c r="M69" s="171">
        <f>IF($AA69=0,99,IF(M82&gt;3,CdTrp1!L77,CdTrp1!L53))</f>
        <v>0</v>
      </c>
      <c r="N69" s="171">
        <f>IF($AA69=0,99,IF(N82&gt;3,CdTrp1!M77,CdTrp1!M53))</f>
        <v>0</v>
      </c>
      <c r="O69" s="171">
        <f>IF($AA69=0,99,IF(O82&gt;3,CdTrp1!N77,CdTrp1!N53))</f>
        <v>0</v>
      </c>
      <c r="P69" s="171">
        <f>IF($AA69=0,99,IF(P82&gt;3,CdTrp1!O77,CdTrp1!O53))</f>
        <v>0</v>
      </c>
      <c r="Q69" s="171">
        <f>IF($AA69=0,99,IF(Q82&gt;3,CdTrp1!P77,CdTrp1!P53))</f>
        <v>0</v>
      </c>
      <c r="R69" s="171">
        <f>IF($AA69=0,99,IF(R82&gt;3,CdTrp1!Q77,CdTrp1!Q53))</f>
        <v>0</v>
      </c>
      <c r="S69" s="171">
        <f>IF($AA69=0,99,IF(S82&gt;3,CdTrp1!R77,CdTrp1!R53))</f>
        <v>0</v>
      </c>
      <c r="T69" s="171">
        <f>IF($AA69=0,99,IF(T82&gt;3,CdTrp1!S77,CdTrp1!S53))</f>
        <v>0</v>
      </c>
      <c r="U69" s="171">
        <f>IF($AA69=0,99,IF(U82&gt;3,CdTrp1!T77,CdTrp1!T53))</f>
        <v>0</v>
      </c>
      <c r="V69" s="171">
        <f>IF($AA69=0,99,IF(V82&gt;3,CdTrp1!U77,CdTrp1!U53))</f>
        <v>0</v>
      </c>
      <c r="W69" s="171">
        <f>IF($AA69=0,99,IF(W82&gt;3,CdTrp1!V77,CdTrp1!V53))</f>
        <v>0</v>
      </c>
      <c r="X69" s="171">
        <f>IF($AA69=0,99,IF(X82&gt;3,CdTrp1!W77,CdTrp1!W53))</f>
        <v>0</v>
      </c>
      <c r="Y69" s="171">
        <f>IF($AA69=0,99,IF(Y82&gt;3,CdTrp1!X77,CdTrp1!X53))</f>
        <v>0</v>
      </c>
      <c r="Z69" s="171">
        <f>IF($AA69=0,99,IF(Z82&gt;3,CdTrp1!Y77,CdTrp1!Y53))</f>
        <v>0</v>
      </c>
      <c r="AA69" s="180">
        <f>SUM(CdTrp1!B16:Y16)/24</f>
        <v>27.84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99</v>
      </c>
      <c r="D70" s="171">
        <f>IF($AA70=0,99,IF(D83&gt;3,CdTrp1!C78,CdTrp1!C54))</f>
        <v>99</v>
      </c>
      <c r="E70" s="171">
        <f>IF($AA70=0,99,IF(E83&gt;3,CdTrp1!D78,CdTrp1!D54))</f>
        <v>99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1</v>
      </c>
      <c r="P70" s="171">
        <f>IF($AA70=0,99,IF(P83&gt;3,CdTrp1!O78,CdTrp1!O54))</f>
        <v>1</v>
      </c>
      <c r="Q70" s="171">
        <f>IF($AA70=0,99,IF(Q83&gt;3,CdTrp1!P78,CdTrp1!P54))</f>
        <v>1</v>
      </c>
      <c r="R70" s="171">
        <f>IF($AA70=0,99,IF(R83&gt;3,CdTrp1!Q78,CdTrp1!Q54))</f>
        <v>1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99</v>
      </c>
      <c r="Z70" s="171">
        <f>IF($AA70=0,99,IF(Z83&gt;3,CdTrp1!Y78,CdTrp1!Y54))</f>
        <v>99</v>
      </c>
      <c r="AA70" s="180">
        <f>SUM(CdTrp1!B17:Y17)/24</f>
        <v>7.7333333333333316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99</v>
      </c>
      <c r="D71" s="171">
        <f>IF($AA71=0,99,IF(D84&gt;3,CdTrp1!C79,CdTrp1!C55))</f>
        <v>99</v>
      </c>
      <c r="E71" s="171">
        <f>IF($AA71=0,99,IF(E84&gt;3,CdTrp1!D79,CdTrp1!D55))</f>
        <v>99</v>
      </c>
      <c r="F71" s="171">
        <f>IF($AA71=0,99,IF(F84&gt;3,CdTrp1!E79,CdTrp1!E55))</f>
        <v>99</v>
      </c>
      <c r="G71" s="171">
        <f>IF($AA71=0,99,IF(G84&gt;3,CdTrp1!F79,CdTrp1!F55))</f>
        <v>0</v>
      </c>
      <c r="H71" s="171">
        <f>IF($AA71=0,99,IF(H84&gt;3,CdTrp1!G79,CdTrp1!G55))</f>
        <v>0</v>
      </c>
      <c r="I71" s="171">
        <f>IF($AA71=0,99,IF(I84&gt;3,CdTrp1!H79,CdTrp1!H55))</f>
        <v>0</v>
      </c>
      <c r="J71" s="171">
        <f>IF($AA71=0,99,IF(J84&gt;3,CdTrp1!I79,CdTrp1!I55))</f>
        <v>0</v>
      </c>
      <c r="K71" s="171">
        <f>IF($AA71=0,99,IF(K84&gt;3,CdTrp1!J79,CdTrp1!J55))</f>
        <v>0</v>
      </c>
      <c r="L71" s="171">
        <f>IF($AA71=0,99,IF(L84&gt;3,CdTrp1!K79,CdTrp1!K55))</f>
        <v>0</v>
      </c>
      <c r="M71" s="171">
        <f>IF($AA71=0,99,IF(M84&gt;3,CdTrp1!L79,CdTrp1!L55))</f>
        <v>0</v>
      </c>
      <c r="N71" s="171">
        <f>IF($AA71=0,99,IF(N84&gt;3,CdTrp1!M79,CdTrp1!M55))</f>
        <v>0</v>
      </c>
      <c r="O71" s="171">
        <f>IF($AA71=0,99,IF(O84&gt;3,CdTrp1!N79,CdTrp1!N55))</f>
        <v>0</v>
      </c>
      <c r="P71" s="171">
        <f>IF($AA71=0,99,IF(P84&gt;3,CdTrp1!O79,CdTrp1!O55))</f>
        <v>0</v>
      </c>
      <c r="Q71" s="171">
        <f>IF($AA71=0,99,IF(Q84&gt;3,CdTrp1!P79,CdTrp1!P55))</f>
        <v>0</v>
      </c>
      <c r="R71" s="171">
        <f>IF($AA71=0,99,IF(R84&gt;3,CdTrp1!Q79,CdTrp1!Q55))</f>
        <v>0</v>
      </c>
      <c r="S71" s="171">
        <f>IF($AA71=0,99,IF(S84&gt;3,CdTrp1!R79,CdTrp1!R55))</f>
        <v>0</v>
      </c>
      <c r="T71" s="171">
        <f>IF($AA71=0,99,IF(T84&gt;3,CdTrp1!S79,CdTrp1!S55))</f>
        <v>0</v>
      </c>
      <c r="U71" s="171">
        <f>IF($AA71=0,99,IF(U84&gt;3,CdTrp1!T79,CdTrp1!T55))</f>
        <v>0</v>
      </c>
      <c r="V71" s="171">
        <f>IF($AA71=0,99,IF(V84&gt;3,CdTrp1!U79,CdTrp1!U55))</f>
        <v>0</v>
      </c>
      <c r="W71" s="171">
        <f>IF($AA71=0,99,IF(W84&gt;3,CdTrp1!V79,CdTrp1!V55))</f>
        <v>0</v>
      </c>
      <c r="X71" s="171">
        <f>IF($AA71=0,99,IF(X84&gt;3,CdTrp1!W79,CdTrp1!W55))</f>
        <v>0</v>
      </c>
      <c r="Y71" s="171">
        <f>IF($AA71=0,99,IF(Y84&gt;3,CdTrp1!X79,CdTrp1!X55))</f>
        <v>0</v>
      </c>
      <c r="Z71" s="171">
        <f>IF($AA71=0,99,IF(Z84&gt;3,CdTrp1!Y79,CdTrp1!Y55))</f>
        <v>99</v>
      </c>
      <c r="AA71" s="180">
        <f>SUM(CdTrp1!B18:Y18)/24</f>
        <v>6.7183333333333337</v>
      </c>
      <c r="AD71" s="15"/>
    </row>
    <row r="72" spans="1:49" x14ac:dyDescent="0.25">
      <c r="B72" s="258" t="str">
        <f>CdTrp1!A56</f>
        <v>broutard</v>
      </c>
      <c r="C72" s="171">
        <f>IF($AA72=0,99,IF(C85&gt;3,CdTrp1!B80,CdTrp1!B56))</f>
        <v>1</v>
      </c>
      <c r="D72" s="171">
        <f>IF($AA72=0,99,IF(D85&gt;3,CdTrp1!C80,CdTrp1!C56))</f>
        <v>1</v>
      </c>
      <c r="E72" s="171">
        <f>IF($AA72=0,99,IF(E85&gt;3,CdTrp1!D80,CdTrp1!D56))</f>
        <v>1</v>
      </c>
      <c r="F72" s="171">
        <f>IF($AA72=0,99,IF(F85&gt;3,CdTrp1!E80,CdTrp1!E56))</f>
        <v>1</v>
      </c>
      <c r="G72" s="171">
        <f>IF($AA72=0,99,IF(G85&gt;3,CdTrp1!F80,CdTrp1!F56))</f>
        <v>1</v>
      </c>
      <c r="H72" s="171">
        <f>IF($AA72=0,99,IF(H85&gt;3,CdTrp1!G80,CdTrp1!G56))</f>
        <v>1</v>
      </c>
      <c r="I72" s="171">
        <f>IF($AA72=0,99,IF(I85&gt;3,CdTrp1!H80,CdTrp1!H56))</f>
        <v>1</v>
      </c>
      <c r="J72" s="171">
        <f>IF($AA72=0,99,IF(J85&gt;3,CdTrp1!I80,CdTrp1!I56))</f>
        <v>1</v>
      </c>
      <c r="K72" s="171">
        <f>IF($AA72=0,99,IF(K85&gt;3,CdTrp1!J80,CdTrp1!J56))</f>
        <v>0</v>
      </c>
      <c r="L72" s="171">
        <f>IF($AA72=0,99,IF(L85&gt;3,CdTrp1!K80,CdTrp1!K56))</f>
        <v>0</v>
      </c>
      <c r="M72" s="171">
        <f>IF($AA72=0,99,IF(M85&gt;3,CdTrp1!L80,CdTrp1!L56))</f>
        <v>0</v>
      </c>
      <c r="N72" s="171">
        <f>IF($AA72=0,99,IF(N85&gt;3,CdTrp1!M80,CdTrp1!M56))</f>
        <v>0</v>
      </c>
      <c r="O72" s="171">
        <f>IF($AA72=0,99,IF(O85&gt;3,CdTrp1!N80,CdTrp1!N56))</f>
        <v>0</v>
      </c>
      <c r="P72" s="171">
        <f>IF($AA72=0,99,IF(P85&gt;3,CdTrp1!O80,CdTrp1!O56))</f>
        <v>0</v>
      </c>
      <c r="Q72" s="171">
        <f>IF($AA72=0,99,IF(Q85&gt;3,CdTrp1!P80,CdTrp1!P56))</f>
        <v>0</v>
      </c>
      <c r="R72" s="171">
        <f>IF($AA72=0,99,IF(R85&gt;3,CdTrp1!Q80,CdTrp1!Q56))</f>
        <v>0</v>
      </c>
      <c r="S72" s="171">
        <f>IF($AA72=0,99,IF(S85&gt;3,CdTrp1!R80,CdTrp1!R56))</f>
        <v>0</v>
      </c>
      <c r="T72" s="171">
        <f>IF($AA72=0,99,IF(T85&gt;3,CdTrp1!S80,CdTrp1!S56))</f>
        <v>0</v>
      </c>
      <c r="U72" s="171">
        <f>IF($AA72=0,99,IF(U85&gt;3,CdTrp1!T80,CdTrp1!T56))</f>
        <v>1</v>
      </c>
      <c r="V72" s="171">
        <f>IF($AA72=0,99,IF(V85&gt;3,CdTrp1!U80,CdTrp1!U56))</f>
        <v>1</v>
      </c>
      <c r="W72" s="171">
        <f>IF($AA72=0,99,IF(W85&gt;3,CdTrp1!V80,CdTrp1!V56))</f>
        <v>1</v>
      </c>
      <c r="X72" s="171">
        <f>IF($AA72=0,99,IF(X85&gt;3,CdTrp1!W80,CdTrp1!W56))</f>
        <v>1</v>
      </c>
      <c r="Y72" s="171">
        <f>IF($AA72=0,99,IF(Y85&gt;3,CdTrp1!X80,CdTrp1!X56))</f>
        <v>1</v>
      </c>
      <c r="Z72" s="171">
        <f>IF($AA72=0,99,IF(Z85&gt;3,CdTrp1!Y80,CdTrp1!Y56))</f>
        <v>1</v>
      </c>
      <c r="AA72" s="180">
        <f>SUM(CdTrp1!B19:Y19)/24</f>
        <v>23.876666666666669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739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1</v>
      </c>
      <c r="J81" s="171">
        <f>CdTrp1!I76</f>
        <v>1</v>
      </c>
      <c r="K81" s="171">
        <f>CdTrp1!J76</f>
        <v>1</v>
      </c>
      <c r="L81" s="171">
        <f>CdTrp1!K76</f>
        <v>1</v>
      </c>
      <c r="M81" s="171">
        <f>CdTrp1!L76</f>
        <v>1</v>
      </c>
      <c r="N81" s="171">
        <f>CdTrp1!M76</f>
        <v>1</v>
      </c>
      <c r="O81" s="171">
        <f>CdTrp1!N76</f>
        <v>1</v>
      </c>
      <c r="P81" s="171">
        <f>CdTrp1!O76</f>
        <v>1</v>
      </c>
      <c r="Q81" s="171">
        <f>CdTrp1!P76</f>
        <v>1</v>
      </c>
      <c r="R81" s="171">
        <f>CdTrp1!Q76</f>
        <v>1</v>
      </c>
      <c r="S81" s="171">
        <f>CdTrp1!R76</f>
        <v>1</v>
      </c>
      <c r="T81" s="171">
        <f>CdTrp1!S76</f>
        <v>1</v>
      </c>
      <c r="U81" s="171">
        <f>CdTrp1!T76</f>
        <v>1</v>
      </c>
      <c r="V81" s="171">
        <f>CdTrp1!U76</f>
        <v>1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1</v>
      </c>
      <c r="D82" s="171">
        <f>CdTrp1!C77</f>
        <v>1</v>
      </c>
      <c r="E82" s="171">
        <f>CdTrp1!D77</f>
        <v>1</v>
      </c>
      <c r="F82" s="171">
        <f>CdTrp1!E77</f>
        <v>1</v>
      </c>
      <c r="G82" s="171">
        <f>CdTrp1!F77</f>
        <v>2</v>
      </c>
      <c r="H82" s="171">
        <f>CdTrp1!G77</f>
        <v>2</v>
      </c>
      <c r="I82" s="171">
        <f>CdTrp1!H77</f>
        <v>2</v>
      </c>
      <c r="J82" s="171">
        <f>CdTrp1!I77</f>
        <v>2</v>
      </c>
      <c r="K82" s="171">
        <f>CdTrp1!J77</f>
        <v>2</v>
      </c>
      <c r="L82" s="171">
        <f>CdTrp1!K77</f>
        <v>2</v>
      </c>
      <c r="M82" s="171">
        <f>CdTrp1!L77</f>
        <v>2</v>
      </c>
      <c r="N82" s="171">
        <f>CdTrp1!M77</f>
        <v>2</v>
      </c>
      <c r="O82" s="171">
        <f>CdTrp1!N77</f>
        <v>2</v>
      </c>
      <c r="P82" s="171">
        <f>CdTrp1!O77</f>
        <v>2</v>
      </c>
      <c r="Q82" s="171">
        <f>CdTrp1!P77</f>
        <v>2</v>
      </c>
      <c r="R82" s="171">
        <f>CdTrp1!Q77</f>
        <v>2</v>
      </c>
      <c r="S82" s="171">
        <f>CdTrp1!R77</f>
        <v>2</v>
      </c>
      <c r="T82" s="171">
        <f>CdTrp1!S77</f>
        <v>2</v>
      </c>
      <c r="U82" s="171">
        <f>CdTrp1!T77</f>
        <v>2</v>
      </c>
      <c r="V82" s="171">
        <f>CdTrp1!U77</f>
        <v>2</v>
      </c>
      <c r="W82" s="171">
        <f>CdTrp1!V77</f>
        <v>2</v>
      </c>
      <c r="X82" s="171">
        <f>CdTrp1!W77</f>
        <v>1</v>
      </c>
      <c r="Y82" s="171">
        <f>CdTrp1!X77</f>
        <v>1</v>
      </c>
      <c r="Z82" s="171">
        <f>CdTrp1!Y77</f>
        <v>1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0</v>
      </c>
      <c r="P83" s="171">
        <f>CdTrp1!O78</f>
        <v>0</v>
      </c>
      <c r="Q83" s="171">
        <f>CdTrp1!P78</f>
        <v>0</v>
      </c>
      <c r="R83" s="171">
        <f>CdTrp1!Q78</f>
        <v>0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1</v>
      </c>
      <c r="H84" s="171">
        <f>CdTrp1!G79</f>
        <v>1</v>
      </c>
      <c r="I84" s="171">
        <f>CdTrp1!H79</f>
        <v>1</v>
      </c>
      <c r="J84" s="171">
        <f>CdTrp1!I79</f>
        <v>1</v>
      </c>
      <c r="K84" s="171">
        <f>CdTrp1!J79</f>
        <v>1</v>
      </c>
      <c r="L84" s="171">
        <f>CdTrp1!K79</f>
        <v>1</v>
      </c>
      <c r="M84" s="171">
        <f>CdTrp1!L79</f>
        <v>1</v>
      </c>
      <c r="N84" s="171">
        <f>CdTrp1!M79</f>
        <v>1</v>
      </c>
      <c r="O84" s="171">
        <f>CdTrp1!N79</f>
        <v>1</v>
      </c>
      <c r="P84" s="171">
        <f>CdTrp1!O79</f>
        <v>1</v>
      </c>
      <c r="Q84" s="171">
        <f>CdTrp1!P79</f>
        <v>1</v>
      </c>
      <c r="R84" s="171">
        <f>CdTrp1!Q79</f>
        <v>1</v>
      </c>
      <c r="S84" s="171">
        <f>CdTrp1!R79</f>
        <v>1</v>
      </c>
      <c r="T84" s="171">
        <f>CdTrp1!S79</f>
        <v>1</v>
      </c>
      <c r="U84" s="171">
        <f>CdTrp1!T79</f>
        <v>1</v>
      </c>
      <c r="V84" s="171">
        <f>CdTrp1!U79</f>
        <v>1</v>
      </c>
      <c r="W84" s="171">
        <f>CdTrp1!V79</f>
        <v>1</v>
      </c>
      <c r="X84" s="171">
        <f>CdTrp1!W79</f>
        <v>1</v>
      </c>
      <c r="Y84" s="171">
        <f>CdTrp1!X79</f>
        <v>1</v>
      </c>
      <c r="Z84" s="171">
        <f>CdTrp1!Y79</f>
        <v>0</v>
      </c>
    </row>
    <row r="85" spans="1:29" x14ac:dyDescent="0.25">
      <c r="B85" s="258" t="str">
        <f>CdTrp1!A80</f>
        <v>broutard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737</v>
      </c>
    </row>
    <row r="110" spans="1:27" x14ac:dyDescent="0.25">
      <c r="A110" s="40" t="s">
        <v>740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741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737</v>
      </c>
    </row>
    <row r="153" spans="1:27" x14ac:dyDescent="0.25">
      <c r="A153" s="40" t="s">
        <v>742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739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743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744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745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746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747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748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749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750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751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752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753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754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1418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755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756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757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758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759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760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761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762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763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7" activePane="bottomLeft" state="frozen"/>
      <selection activeCell="L93" sqref="L93"/>
      <selection pane="bottomLeft" activeCell="F72" sqref="F7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764</v>
      </c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R1" s="184" t="s">
        <v>765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765</v>
      </c>
      <c r="AS2" s="40" t="s">
        <v>559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573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580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766</v>
      </c>
      <c r="B3" s="2"/>
      <c r="C3" s="2"/>
      <c r="D3" s="23"/>
      <c r="E3" s="23"/>
      <c r="AR3" s="184" t="s">
        <v>765</v>
      </c>
      <c r="AT3" s="2" t="s">
        <v>767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767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767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768</v>
      </c>
      <c r="B4" s="2"/>
      <c r="C4" s="2"/>
      <c r="D4" s="23"/>
      <c r="E4" s="23"/>
      <c r="F4" s="33"/>
      <c r="AR4" s="184" t="s">
        <v>765</v>
      </c>
      <c r="AT4" s="185" t="str">
        <f>AT26</f>
        <v>Vaches lots principal</v>
      </c>
      <c r="AU4" s="170"/>
      <c r="AV4" s="171">
        <f>CdTrp1!B15</f>
        <v>44.08</v>
      </c>
      <c r="AW4" s="171">
        <f>CdTrp1!C15</f>
        <v>44.08</v>
      </c>
      <c r="AX4" s="171">
        <f>CdTrp1!D15</f>
        <v>44.08</v>
      </c>
      <c r="AY4" s="171">
        <f>CdTrp1!E15</f>
        <v>44.08</v>
      </c>
      <c r="AZ4" s="171">
        <f>CdTrp1!F15</f>
        <v>41.76</v>
      </c>
      <c r="BA4" s="171">
        <f>CdTrp1!G15</f>
        <v>39.44</v>
      </c>
      <c r="BB4" s="171">
        <f>CdTrp1!H15</f>
        <v>37.119999999999997</v>
      </c>
      <c r="BC4" s="171">
        <f>CdTrp1!I15</f>
        <v>34.799999999999997</v>
      </c>
      <c r="BD4" s="171">
        <f>CdTrp1!J15</f>
        <v>33.64</v>
      </c>
      <c r="BE4" s="171">
        <f>CdTrp1!K15</f>
        <v>32.479999999999997</v>
      </c>
      <c r="BF4" s="171">
        <f>CdTrp1!L15</f>
        <v>31.32</v>
      </c>
      <c r="BG4" s="171">
        <f>CdTrp1!M15</f>
        <v>31.32</v>
      </c>
      <c r="BH4" s="171">
        <f>CdTrp1!N15</f>
        <v>31.32</v>
      </c>
      <c r="BI4" s="171">
        <f>CdTrp1!O15</f>
        <v>31.32</v>
      </c>
      <c r="BJ4" s="171">
        <f>CdTrp1!P15</f>
        <v>30.16</v>
      </c>
      <c r="BK4" s="171">
        <f>CdTrp1!Q15</f>
        <v>30.16</v>
      </c>
      <c r="BL4" s="171">
        <f>CdTrp1!R15</f>
        <v>31.32</v>
      </c>
      <c r="BM4" s="171">
        <f>CdTrp1!S15</f>
        <v>32.479999999999997</v>
      </c>
      <c r="BN4" s="171">
        <f>CdTrp1!T15</f>
        <v>34.799999999999997</v>
      </c>
      <c r="BO4" s="171">
        <f>CdTrp1!U15</f>
        <v>37.119999999999997</v>
      </c>
      <c r="BP4" s="171">
        <f>CdTrp1!V15</f>
        <v>40.6</v>
      </c>
      <c r="BQ4" s="171">
        <f>CdTrp1!W15</f>
        <v>42.92</v>
      </c>
      <c r="BR4" s="171">
        <f>CdTrp1!X15</f>
        <v>44.08</v>
      </c>
      <c r="BS4" s="171">
        <f>CdTrp1!Y15</f>
        <v>44.08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559</v>
      </c>
      <c r="F5" s="171">
        <f>SUM(G5:AD5)</f>
        <v>257.25</v>
      </c>
      <c r="G5" s="171">
        <f>AV117</f>
        <v>3.5</v>
      </c>
      <c r="H5" s="171">
        <f t="shared" ref="H5:AD5" si="0">AW117</f>
        <v>3.5</v>
      </c>
      <c r="I5" s="171">
        <f t="shared" si="0"/>
        <v>3.5</v>
      </c>
      <c r="J5" s="171">
        <f t="shared" si="0"/>
        <v>3.5</v>
      </c>
      <c r="K5" s="171">
        <f t="shared" si="0"/>
        <v>8.75</v>
      </c>
      <c r="L5" s="171">
        <f t="shared" si="0"/>
        <v>8.75</v>
      </c>
      <c r="M5" s="171">
        <f t="shared" si="0"/>
        <v>19.25</v>
      </c>
      <c r="N5" s="171">
        <f t="shared" si="0"/>
        <v>19.25</v>
      </c>
      <c r="O5" s="171">
        <f t="shared" si="0"/>
        <v>12.25</v>
      </c>
      <c r="P5" s="171">
        <f t="shared" si="0"/>
        <v>12.25</v>
      </c>
      <c r="Q5" s="171">
        <f t="shared" si="0"/>
        <v>12.25</v>
      </c>
      <c r="R5" s="171">
        <f t="shared" si="0"/>
        <v>12.25</v>
      </c>
      <c r="S5" s="171">
        <f t="shared" si="0"/>
        <v>12.25</v>
      </c>
      <c r="T5" s="171">
        <f t="shared" si="0"/>
        <v>12.25</v>
      </c>
      <c r="U5" s="171">
        <f t="shared" si="0"/>
        <v>12.25</v>
      </c>
      <c r="V5" s="171">
        <f t="shared" si="0"/>
        <v>12.25</v>
      </c>
      <c r="W5" s="171">
        <f t="shared" si="0"/>
        <v>12.25</v>
      </c>
      <c r="X5" s="171">
        <f t="shared" si="0"/>
        <v>12.25</v>
      </c>
      <c r="Y5" s="171">
        <f t="shared" si="0"/>
        <v>19.25</v>
      </c>
      <c r="Z5" s="171">
        <f t="shared" si="0"/>
        <v>19.25</v>
      </c>
      <c r="AA5" s="171">
        <f t="shared" si="0"/>
        <v>8.75</v>
      </c>
      <c r="AB5" s="171">
        <f t="shared" si="0"/>
        <v>7</v>
      </c>
      <c r="AC5" s="171">
        <f t="shared" si="0"/>
        <v>7</v>
      </c>
      <c r="AD5" s="171">
        <f t="shared" si="0"/>
        <v>3.5</v>
      </c>
      <c r="AR5" s="184" t="s">
        <v>765</v>
      </c>
      <c r="AT5" s="185" t="str">
        <f t="shared" ref="AT5:AT13" si="1">AT27</f>
        <v>Génisses de renouvellement</v>
      </c>
      <c r="AU5" s="170"/>
      <c r="AV5" s="171">
        <f>CdTrp1!B16</f>
        <v>27.84</v>
      </c>
      <c r="AW5" s="171">
        <f>CdTrp1!C16</f>
        <v>27.84</v>
      </c>
      <c r="AX5" s="171">
        <f>CdTrp1!D16</f>
        <v>27.84</v>
      </c>
      <c r="AY5" s="171">
        <f>CdTrp1!E16</f>
        <v>27.84</v>
      </c>
      <c r="AZ5" s="171">
        <f>CdTrp1!F16</f>
        <v>27.84</v>
      </c>
      <c r="BA5" s="171">
        <f>CdTrp1!G16</f>
        <v>27.84</v>
      </c>
      <c r="BB5" s="171">
        <f>CdTrp1!H16</f>
        <v>27.84</v>
      </c>
      <c r="BC5" s="171">
        <f>CdTrp1!I16</f>
        <v>27.84</v>
      </c>
      <c r="BD5" s="171">
        <f>CdTrp1!J16</f>
        <v>27.84</v>
      </c>
      <c r="BE5" s="171">
        <f>CdTrp1!K16</f>
        <v>27.84</v>
      </c>
      <c r="BF5" s="171">
        <f>CdTrp1!L16</f>
        <v>27.84</v>
      </c>
      <c r="BG5" s="171">
        <f>CdTrp1!M16</f>
        <v>27.84</v>
      </c>
      <c r="BH5" s="171">
        <f>CdTrp1!N16</f>
        <v>27.84</v>
      </c>
      <c r="BI5" s="171">
        <f>CdTrp1!O16</f>
        <v>27.84</v>
      </c>
      <c r="BJ5" s="171">
        <f>CdTrp1!P16</f>
        <v>27.84</v>
      </c>
      <c r="BK5" s="171">
        <f>CdTrp1!Q16</f>
        <v>27.84</v>
      </c>
      <c r="BL5" s="171">
        <f>CdTrp1!R16</f>
        <v>27.84</v>
      </c>
      <c r="BM5" s="171">
        <f>CdTrp1!S16</f>
        <v>27.84</v>
      </c>
      <c r="BN5" s="171">
        <f>CdTrp1!T16</f>
        <v>27.84</v>
      </c>
      <c r="BO5" s="171">
        <f>CdTrp1!U16</f>
        <v>27.84</v>
      </c>
      <c r="BP5" s="171">
        <f>CdTrp1!V16</f>
        <v>27.84</v>
      </c>
      <c r="BQ5" s="171">
        <f>CdTrp1!W16</f>
        <v>27.84</v>
      </c>
      <c r="BR5" s="171">
        <f>CdTrp1!X16</f>
        <v>27.84</v>
      </c>
      <c r="BS5" s="171">
        <f>CdTrp1!Y16</f>
        <v>27.84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573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765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1.1599999999999999</v>
      </c>
      <c r="AZ6" s="171">
        <f>CdTrp1!F17</f>
        <v>2.3199999999999998</v>
      </c>
      <c r="BA6" s="171">
        <f>CdTrp1!G17</f>
        <v>5.8</v>
      </c>
      <c r="BB6" s="171">
        <f>CdTrp1!H17</f>
        <v>9.2799999999999994</v>
      </c>
      <c r="BC6" s="171">
        <f>CdTrp1!I17</f>
        <v>12.76</v>
      </c>
      <c r="BD6" s="171">
        <f>CdTrp1!J17</f>
        <v>12.76</v>
      </c>
      <c r="BE6" s="171">
        <f>CdTrp1!K17</f>
        <v>12.76</v>
      </c>
      <c r="BF6" s="171">
        <f>CdTrp1!L17</f>
        <v>13.92</v>
      </c>
      <c r="BG6" s="171">
        <f>CdTrp1!M17</f>
        <v>13.92</v>
      </c>
      <c r="BH6" s="171">
        <f>CdTrp1!N17</f>
        <v>13.92</v>
      </c>
      <c r="BI6" s="171">
        <f>CdTrp1!O17</f>
        <v>13.92</v>
      </c>
      <c r="BJ6" s="171">
        <f>CdTrp1!P17</f>
        <v>13.92</v>
      </c>
      <c r="BK6" s="171">
        <f>CdTrp1!Q17</f>
        <v>13.92</v>
      </c>
      <c r="BL6" s="171">
        <f>CdTrp1!R17</f>
        <v>12.76</v>
      </c>
      <c r="BM6" s="171">
        <f>CdTrp1!S17</f>
        <v>11.6</v>
      </c>
      <c r="BN6" s="171">
        <f>CdTrp1!T17</f>
        <v>9.2799999999999994</v>
      </c>
      <c r="BO6" s="171">
        <f>CdTrp1!U17</f>
        <v>6.96</v>
      </c>
      <c r="BP6" s="171">
        <f>CdTrp1!V17</f>
        <v>3.48</v>
      </c>
      <c r="BQ6" s="171">
        <f>CdTrp1!W17</f>
        <v>1.1599999999999999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580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765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2.3199999999999998</v>
      </c>
      <c r="BA7" s="171">
        <f>CdTrp1!G18</f>
        <v>4.6399999999999997</v>
      </c>
      <c r="BB7" s="171">
        <f>CdTrp1!H18</f>
        <v>6.96</v>
      </c>
      <c r="BC7" s="171">
        <f>CdTrp1!I18</f>
        <v>9.2799999999999994</v>
      </c>
      <c r="BD7" s="171">
        <f>CdTrp1!J18</f>
        <v>10.44</v>
      </c>
      <c r="BE7" s="171">
        <f>CdTrp1!K18</f>
        <v>11.6</v>
      </c>
      <c r="BF7" s="171">
        <f>CdTrp1!L18</f>
        <v>12.76</v>
      </c>
      <c r="BG7" s="171">
        <f>CdTrp1!M18</f>
        <v>12.76</v>
      </c>
      <c r="BH7" s="171">
        <f>CdTrp1!N18</f>
        <v>12.76</v>
      </c>
      <c r="BI7" s="171">
        <f>CdTrp1!O18</f>
        <v>12.76</v>
      </c>
      <c r="BJ7" s="171">
        <f>CdTrp1!P18</f>
        <v>12.76</v>
      </c>
      <c r="BK7" s="171">
        <f>CdTrp1!Q18</f>
        <v>11.6</v>
      </c>
      <c r="BL7" s="171">
        <f>CdTrp1!R18</f>
        <v>10.44</v>
      </c>
      <c r="BM7" s="171">
        <f>CdTrp1!S18</f>
        <v>10.44</v>
      </c>
      <c r="BN7" s="171">
        <f>CdTrp1!T18</f>
        <v>6.96</v>
      </c>
      <c r="BO7" s="171">
        <f>CdTrp1!U18</f>
        <v>5.8</v>
      </c>
      <c r="BP7" s="171">
        <f>CdTrp1!V18</f>
        <v>3.48</v>
      </c>
      <c r="BQ7" s="171">
        <f>CdTrp1!W18</f>
        <v>2.3199999999999998</v>
      </c>
      <c r="BR7" s="171">
        <f>CdTrp1!X18</f>
        <v>1.1599999999999999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769</v>
      </c>
      <c r="B8" s="2"/>
      <c r="C8" s="2"/>
      <c r="D8" s="23"/>
      <c r="E8" s="23"/>
      <c r="AR8" s="184" t="s">
        <v>765</v>
      </c>
      <c r="AT8" s="185" t="str">
        <f t="shared" si="1"/>
        <v>broutard</v>
      </c>
      <c r="AU8" s="170"/>
      <c r="AV8" s="171">
        <f>CdTrp1!B19</f>
        <v>44.08</v>
      </c>
      <c r="AW8" s="171">
        <f>CdTrp1!C19</f>
        <v>44.08</v>
      </c>
      <c r="AX8" s="171">
        <f>CdTrp1!D19</f>
        <v>44.08</v>
      </c>
      <c r="AY8" s="171">
        <f>CdTrp1!E19</f>
        <v>44.08</v>
      </c>
      <c r="AZ8" s="171">
        <f>CdTrp1!F19</f>
        <v>41.76</v>
      </c>
      <c r="BA8" s="171">
        <f>CdTrp1!G19</f>
        <v>39.44</v>
      </c>
      <c r="BB8" s="171">
        <f>CdTrp1!H19</f>
        <v>37.119999999999997</v>
      </c>
      <c r="BC8" s="171">
        <f>CdTrp1!I19</f>
        <v>34.799999999999997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34.799999999999997</v>
      </c>
      <c r="BO8" s="171">
        <f>CdTrp1!U19</f>
        <v>37.119999999999997</v>
      </c>
      <c r="BP8" s="171">
        <f>CdTrp1!V19</f>
        <v>40.6</v>
      </c>
      <c r="BQ8" s="171">
        <f>CdTrp1!W19</f>
        <v>42.92</v>
      </c>
      <c r="BR8" s="171">
        <f>CdTrp1!X19</f>
        <v>44.08</v>
      </c>
      <c r="BS8" s="171">
        <f>CdTrp1!Y19</f>
        <v>44.08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559</v>
      </c>
      <c r="F9" s="171">
        <f>SUM(G9:AD9)</f>
        <v>1263.2347840000004</v>
      </c>
      <c r="G9" s="30">
        <f>AV102</f>
        <v>60.273808000000002</v>
      </c>
      <c r="H9" s="30">
        <f t="shared" ref="H9:AD9" si="4">AW102</f>
        <v>60.273808000000002</v>
      </c>
      <c r="I9" s="30">
        <f t="shared" si="4"/>
        <v>60.273808000000002</v>
      </c>
      <c r="J9" s="30">
        <f t="shared" si="4"/>
        <v>60.545015999999997</v>
      </c>
      <c r="K9" s="30">
        <f t="shared" si="4"/>
        <v>59.731392</v>
      </c>
      <c r="L9" s="30">
        <f t="shared" si="4"/>
        <v>59.460183999999998</v>
      </c>
      <c r="M9" s="30">
        <f t="shared" si="4"/>
        <v>59.188975999999997</v>
      </c>
      <c r="N9" s="30">
        <f t="shared" si="4"/>
        <v>58.917767999999995</v>
      </c>
      <c r="O9" s="30">
        <f t="shared" si="4"/>
        <v>42.645288000000001</v>
      </c>
      <c r="P9" s="30">
        <f t="shared" si="4"/>
        <v>42.645288000000001</v>
      </c>
      <c r="Q9" s="30">
        <f t="shared" si="4"/>
        <v>42.916496000000002</v>
      </c>
      <c r="R9" s="30">
        <f t="shared" si="4"/>
        <v>42.916496000000002</v>
      </c>
      <c r="S9" s="30">
        <f t="shared" si="4"/>
        <v>42.916496000000002</v>
      </c>
      <c r="T9" s="30">
        <f t="shared" si="4"/>
        <v>42.916496000000002</v>
      </c>
      <c r="U9" s="30">
        <f t="shared" si="4"/>
        <v>42.916496000000002</v>
      </c>
      <c r="V9" s="30">
        <f t="shared" si="4"/>
        <v>42.916496000000002</v>
      </c>
      <c r="W9" s="30">
        <f t="shared" si="4"/>
        <v>42.645288000000001</v>
      </c>
      <c r="X9" s="30">
        <f t="shared" si="4"/>
        <v>42.374079999999999</v>
      </c>
      <c r="Y9" s="30">
        <f t="shared" si="4"/>
        <v>58.104144000000005</v>
      </c>
      <c r="Z9" s="30">
        <f t="shared" si="4"/>
        <v>58.646559999999994</v>
      </c>
      <c r="AA9" s="30">
        <f t="shared" si="4"/>
        <v>59.460183999999998</v>
      </c>
      <c r="AB9" s="30">
        <f t="shared" si="4"/>
        <v>60.002600000000001</v>
      </c>
      <c r="AC9" s="30">
        <f t="shared" si="4"/>
        <v>60.273808000000002</v>
      </c>
      <c r="AD9" s="30">
        <f t="shared" si="4"/>
        <v>60.273808000000002</v>
      </c>
      <c r="AR9" s="184" t="s">
        <v>765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573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765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580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765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765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770</v>
      </c>
      <c r="F13" s="171">
        <f t="shared" si="5"/>
        <v>1520.4847840000002</v>
      </c>
      <c r="G13" s="30">
        <f>SUM(G5:G11)</f>
        <v>63.773808000000002</v>
      </c>
      <c r="H13" s="30">
        <f t="shared" ref="H13:AD13" si="8">SUM(H5:H11)</f>
        <v>63.773808000000002</v>
      </c>
      <c r="I13" s="30">
        <f t="shared" si="8"/>
        <v>63.773808000000002</v>
      </c>
      <c r="J13" s="30">
        <f t="shared" si="8"/>
        <v>64.045016000000004</v>
      </c>
      <c r="K13" s="30">
        <f t="shared" si="8"/>
        <v>68.481392</v>
      </c>
      <c r="L13" s="30">
        <f t="shared" si="8"/>
        <v>68.210183999999998</v>
      </c>
      <c r="M13" s="30">
        <f t="shared" si="8"/>
        <v>78.438975999999997</v>
      </c>
      <c r="N13" s="30">
        <f t="shared" si="8"/>
        <v>78.167767999999995</v>
      </c>
      <c r="O13" s="30">
        <f t="shared" si="8"/>
        <v>54.895288000000001</v>
      </c>
      <c r="P13" s="30">
        <f t="shared" si="8"/>
        <v>54.895288000000001</v>
      </c>
      <c r="Q13" s="30">
        <f t="shared" si="8"/>
        <v>55.166496000000002</v>
      </c>
      <c r="R13" s="30">
        <f t="shared" si="8"/>
        <v>55.166496000000002</v>
      </c>
      <c r="S13" s="30">
        <f t="shared" si="8"/>
        <v>55.166496000000002</v>
      </c>
      <c r="T13" s="30">
        <f t="shared" si="8"/>
        <v>55.166496000000002</v>
      </c>
      <c r="U13" s="30">
        <f t="shared" si="8"/>
        <v>55.166496000000002</v>
      </c>
      <c r="V13" s="30">
        <f t="shared" si="8"/>
        <v>55.166496000000002</v>
      </c>
      <c r="W13" s="30">
        <f t="shared" si="8"/>
        <v>54.895288000000001</v>
      </c>
      <c r="X13" s="30">
        <f t="shared" si="8"/>
        <v>54.624079999999999</v>
      </c>
      <c r="Y13" s="30">
        <f t="shared" si="8"/>
        <v>77.354144000000005</v>
      </c>
      <c r="Z13" s="30">
        <f t="shared" si="8"/>
        <v>77.896559999999994</v>
      </c>
      <c r="AA13" s="30">
        <f t="shared" si="8"/>
        <v>68.210183999999998</v>
      </c>
      <c r="AB13" s="30">
        <f t="shared" si="8"/>
        <v>67.002600000000001</v>
      </c>
      <c r="AC13" s="30">
        <f t="shared" si="8"/>
        <v>67.273808000000002</v>
      </c>
      <c r="AD13" s="30">
        <f t="shared" si="8"/>
        <v>63.773808000000002</v>
      </c>
      <c r="AR13" s="184" t="s">
        <v>765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765</v>
      </c>
      <c r="AT14" s="2" t="s">
        <v>771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772</v>
      </c>
      <c r="B15" s="169" t="s">
        <v>773</v>
      </c>
      <c r="C15" s="169" t="s">
        <v>774</v>
      </c>
      <c r="D15" s="170" t="s">
        <v>775</v>
      </c>
      <c r="E15" s="170" t="s">
        <v>776</v>
      </c>
      <c r="F15" s="169" t="s">
        <v>777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559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0</v>
      </c>
      <c r="F16" s="171">
        <f>IF(B16&gt;0,D16*E16/B16,0)</f>
        <v>0</v>
      </c>
      <c r="H16" t="s">
        <v>778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573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580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779</v>
      </c>
      <c r="B19" s="169"/>
      <c r="C19" s="169"/>
      <c r="D19" s="170"/>
      <c r="E19" s="170"/>
      <c r="AR19" s="184"/>
      <c r="AT19" s="185" t="str">
        <f t="shared" si="14"/>
        <v>broutard</v>
      </c>
      <c r="AV19" s="171">
        <f t="shared" si="9"/>
        <v>1</v>
      </c>
      <c r="AW19" s="171">
        <f t="shared" si="9"/>
        <v>1</v>
      </c>
      <c r="AX19" s="171">
        <f t="shared" si="9"/>
        <v>1</v>
      </c>
      <c r="AY19" s="171">
        <f t="shared" si="9"/>
        <v>1</v>
      </c>
      <c r="AZ19" s="171">
        <f t="shared" si="9"/>
        <v>1</v>
      </c>
      <c r="BA19" s="171">
        <f t="shared" si="9"/>
        <v>1</v>
      </c>
      <c r="BB19" s="171">
        <f t="shared" si="9"/>
        <v>1</v>
      </c>
      <c r="BC19" s="171">
        <f t="shared" si="9"/>
        <v>1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1</v>
      </c>
      <c r="BO19" s="171">
        <f t="shared" si="9"/>
        <v>1</v>
      </c>
      <c r="BP19" s="171">
        <f t="shared" si="9"/>
        <v>1</v>
      </c>
      <c r="BQ19" s="171">
        <f t="shared" si="9"/>
        <v>1</v>
      </c>
      <c r="BR19" s="171">
        <f t="shared" si="9"/>
        <v>1</v>
      </c>
      <c r="BS19" s="171">
        <f t="shared" si="9"/>
        <v>1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559</v>
      </c>
      <c r="B20" s="169"/>
      <c r="C20" s="169"/>
      <c r="D20" s="186">
        <f>[1]Trav!$D$92</f>
        <v>12</v>
      </c>
      <c r="E20" s="186">
        <f>Scénario!K76*2</f>
        <v>0</v>
      </c>
      <c r="F20" s="171">
        <f>D20*E20</f>
        <v>0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573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580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780</v>
      </c>
      <c r="AU25" s="180"/>
      <c r="BZ25" s="187" t="s">
        <v>780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780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781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629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765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630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765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782</v>
      </c>
      <c r="B30" s="189" t="s">
        <v>783</v>
      </c>
      <c r="C30" s="189" t="s">
        <v>784</v>
      </c>
      <c r="D30" s="190"/>
      <c r="E30" s="190"/>
      <c r="AR30" s="184" t="s">
        <v>765</v>
      </c>
      <c r="AT30" s="185" t="str">
        <f>CdTrp1!A19</f>
        <v>broutard</v>
      </c>
      <c r="AU30" s="188" t="str">
        <f>Scénario!K100</f>
        <v>fort</v>
      </c>
      <c r="AV30" s="171">
        <f t="shared" si="17"/>
        <v>2</v>
      </c>
      <c r="AW30" s="171">
        <f t="shared" si="17"/>
        <v>2</v>
      </c>
      <c r="AX30" s="171">
        <f t="shared" si="17"/>
        <v>2</v>
      </c>
      <c r="AY30" s="171">
        <f t="shared" si="17"/>
        <v>2</v>
      </c>
      <c r="AZ30" s="171">
        <f t="shared" si="17"/>
        <v>2</v>
      </c>
      <c r="BA30" s="171">
        <f t="shared" si="17"/>
        <v>2</v>
      </c>
      <c r="BB30" s="171">
        <f t="shared" si="17"/>
        <v>2</v>
      </c>
      <c r="BC30" s="171">
        <f t="shared" si="17"/>
        <v>2</v>
      </c>
      <c r="BD30" s="171">
        <f t="shared" si="17"/>
        <v>2</v>
      </c>
      <c r="BE30" s="171">
        <f t="shared" si="17"/>
        <v>2</v>
      </c>
      <c r="BF30" s="171">
        <f t="shared" si="17"/>
        <v>2</v>
      </c>
      <c r="BG30" s="171">
        <f t="shared" si="17"/>
        <v>2</v>
      </c>
      <c r="BH30" s="171">
        <f t="shared" si="17"/>
        <v>2</v>
      </c>
      <c r="BI30" s="171">
        <f t="shared" si="17"/>
        <v>2</v>
      </c>
      <c r="BJ30" s="171">
        <f t="shared" si="17"/>
        <v>2</v>
      </c>
      <c r="BK30" s="171">
        <f t="shared" si="17"/>
        <v>2</v>
      </c>
      <c r="BL30" s="171">
        <f t="shared" si="18"/>
        <v>2</v>
      </c>
      <c r="BM30" s="171">
        <f t="shared" si="18"/>
        <v>2</v>
      </c>
      <c r="BN30" s="171">
        <f t="shared" si="18"/>
        <v>2</v>
      </c>
      <c r="BO30" s="171">
        <f t="shared" si="18"/>
        <v>2</v>
      </c>
      <c r="BP30" s="171">
        <f t="shared" si="18"/>
        <v>2</v>
      </c>
      <c r="BQ30" s="171">
        <f t="shared" si="18"/>
        <v>2</v>
      </c>
      <c r="BR30" s="171">
        <f t="shared" si="18"/>
        <v>2</v>
      </c>
      <c r="BS30" s="171">
        <f t="shared" si="18"/>
        <v>2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559</v>
      </c>
      <c r="B31" s="171">
        <f>Troupeau!B18</f>
        <v>52</v>
      </c>
      <c r="C31" s="186">
        <f>IF(B31&gt;0,VLOOKUP(Troupeau!B3,[1]Trav!$A$96:$B$99,2),0)</f>
        <v>360</v>
      </c>
      <c r="D31" s="170"/>
      <c r="E31" s="170"/>
      <c r="F31" s="171">
        <f>B31*C31/60</f>
        <v>312</v>
      </c>
      <c r="AR31" s="184" t="s">
        <v>765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573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765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580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765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785</v>
      </c>
      <c r="B34" s="189" t="s">
        <v>786</v>
      </c>
      <c r="C34" s="189" t="s">
        <v>787</v>
      </c>
      <c r="D34" s="189" t="s">
        <v>788</v>
      </c>
      <c r="E34" s="190"/>
      <c r="F34" s="33"/>
      <c r="AR34" s="184" t="s">
        <v>765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559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765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573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765</v>
      </c>
      <c r="AT36" s="2" t="s">
        <v>742</v>
      </c>
      <c r="BZ36" s="2" t="s">
        <v>742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742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580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765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2</v>
      </c>
      <c r="BC37" s="171">
        <f>IF(CdTrp1!I52=1,3,IF(CdTrp1!I52=0.5,2,IF(CdTrp1!I52=0,1,0)))</f>
        <v>2</v>
      </c>
      <c r="BD37" s="171">
        <f>IF(CdTrp1!J52=1,3,IF(CdTrp1!J52=0.5,2,IF(CdTrp1!J52=0,1,0)))</f>
        <v>1</v>
      </c>
      <c r="BE37" s="171">
        <f>IF(CdTrp1!K52=1,3,IF(CdTrp1!K52=0.5,2,IF(CdTrp1!K52=0,1,0)))</f>
        <v>1</v>
      </c>
      <c r="BF37" s="171">
        <f>IF(CdTrp1!L52=1,3,IF(CdTrp1!L52=0.5,2,IF(CdTrp1!L52=0,1,0)))</f>
        <v>1</v>
      </c>
      <c r="BG37" s="171">
        <f>IF(CdTrp1!M52=1,3,IF(CdTrp1!M52=0.5,2,IF(CdTrp1!M52=0,1,0)))</f>
        <v>1</v>
      </c>
      <c r="BH37" s="171">
        <f>IF(CdTrp1!N52=1,3,IF(CdTrp1!N52=0.5,2,IF(CdTrp1!N52=0,1,0)))</f>
        <v>1</v>
      </c>
      <c r="BI37" s="171">
        <f>IF(CdTrp1!O52=1,3,IF(CdTrp1!O52=0.5,2,IF(CdTrp1!O52=0,1,0)))</f>
        <v>1</v>
      </c>
      <c r="BJ37" s="171">
        <f>IF(CdTrp1!P52=1,3,IF(CdTrp1!P52=0.5,2,IF(CdTrp1!P52=0,1,0)))</f>
        <v>1</v>
      </c>
      <c r="BK37" s="171">
        <f>IF(CdTrp1!Q52=1,3,IF(CdTrp1!Q52=0.5,2,IF(CdTrp1!Q52=0,1,0)))</f>
        <v>1</v>
      </c>
      <c r="BL37" s="171">
        <f>IF(CdTrp1!R52=1,3,IF(CdTrp1!R52=0.5,2,IF(CdTrp1!R52=0,1,0)))</f>
        <v>1</v>
      </c>
      <c r="BM37" s="171">
        <f>IF(CdTrp1!S52=1,3,IF(CdTrp1!S52=0.5,2,IF(CdTrp1!S52=0,1,0)))</f>
        <v>1</v>
      </c>
      <c r="BN37" s="171">
        <f>IF(CdTrp1!T52=1,3,IF(CdTrp1!T52=0.5,2,IF(CdTrp1!T52=0,1,0)))</f>
        <v>2</v>
      </c>
      <c r="BO37" s="171">
        <f>IF(CdTrp1!U52=1,3,IF(CdTrp1!U52=0.5,2,IF(CdTrp1!U52=0,1,0)))</f>
        <v>2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789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790</v>
      </c>
      <c r="B38" s="191" t="s">
        <v>791</v>
      </c>
      <c r="C38" s="191" t="s">
        <v>792</v>
      </c>
      <c r="D38" s="190"/>
      <c r="E38" s="190"/>
      <c r="F38" s="33"/>
      <c r="AR38" s="184" t="s">
        <v>765</v>
      </c>
      <c r="AT38" s="259" t="str">
        <f>CdTrp1!$A53</f>
        <v>Génisses de renouvellement</v>
      </c>
      <c r="AU38" s="32"/>
      <c r="AV38" s="171">
        <f>IF(CdTrp1!B53=1,3,IF(CdTrp1!B53=0.5,2,IF(CdTrp1!B53=0,1,0)))</f>
        <v>1</v>
      </c>
      <c r="AW38" s="171">
        <f>IF(CdTrp1!C53=1,3,IF(CdTrp1!C53=0.5,2,IF(CdTrp1!C53=0,1,0)))</f>
        <v>1</v>
      </c>
      <c r="AX38" s="171">
        <f>IF(CdTrp1!D53=1,3,IF(CdTrp1!D53=0.5,2,IF(CdTrp1!D53=0,1,0)))</f>
        <v>1</v>
      </c>
      <c r="AY38" s="171">
        <f>IF(CdTrp1!E53=1,3,IF(CdTrp1!E53=0.5,2,IF(CdTrp1!E53=0,1,0)))</f>
        <v>1</v>
      </c>
      <c r="AZ38" s="171">
        <f>IF(CdTrp1!F53=1,3,IF(CdTrp1!F53=0.5,2,IF(CdTrp1!F53=0,1,0)))</f>
        <v>1</v>
      </c>
      <c r="BA38" s="171">
        <f>IF(CdTrp1!G53=1,3,IF(CdTrp1!G53=0.5,2,IF(CdTrp1!G53=0,1,0)))</f>
        <v>1</v>
      </c>
      <c r="BB38" s="171">
        <f>IF(CdTrp1!H53=1,3,IF(CdTrp1!H53=0.5,2,IF(CdTrp1!H53=0,1,0)))</f>
        <v>1</v>
      </c>
      <c r="BC38" s="171">
        <f>IF(CdTrp1!I53=1,3,IF(CdTrp1!I53=0.5,2,IF(CdTrp1!I53=0,1,0)))</f>
        <v>1</v>
      </c>
      <c r="BD38" s="171">
        <f>IF(CdTrp1!J53=1,3,IF(CdTrp1!J53=0.5,2,IF(CdTrp1!J53=0,1,0)))</f>
        <v>1</v>
      </c>
      <c r="BE38" s="171">
        <f>IF(CdTrp1!K53=1,3,IF(CdTrp1!K53=0.5,2,IF(CdTrp1!K53=0,1,0)))</f>
        <v>1</v>
      </c>
      <c r="BF38" s="171">
        <f>IF(CdTrp1!L53=1,3,IF(CdTrp1!L53=0.5,2,IF(CdTrp1!L53=0,1,0)))</f>
        <v>1</v>
      </c>
      <c r="BG38" s="171">
        <f>IF(CdTrp1!M53=1,3,IF(CdTrp1!M53=0.5,2,IF(CdTrp1!M53=0,1,0)))</f>
        <v>1</v>
      </c>
      <c r="BH38" s="171">
        <f>IF(CdTrp1!N53=1,3,IF(CdTrp1!N53=0.5,2,IF(CdTrp1!N53=0,1,0)))</f>
        <v>1</v>
      </c>
      <c r="BI38" s="171">
        <f>IF(CdTrp1!O53=1,3,IF(CdTrp1!O53=0.5,2,IF(CdTrp1!O53=0,1,0)))</f>
        <v>1</v>
      </c>
      <c r="BJ38" s="171">
        <f>IF(CdTrp1!P53=1,3,IF(CdTrp1!P53=0.5,2,IF(CdTrp1!P53=0,1,0)))</f>
        <v>1</v>
      </c>
      <c r="BK38" s="171">
        <f>IF(CdTrp1!Q53=1,3,IF(CdTrp1!Q53=0.5,2,IF(CdTrp1!Q53=0,1,0)))</f>
        <v>1</v>
      </c>
      <c r="BL38" s="171">
        <f>IF(CdTrp1!R53=1,3,IF(CdTrp1!R53=0.5,2,IF(CdTrp1!R53=0,1,0)))</f>
        <v>1</v>
      </c>
      <c r="BM38" s="171">
        <f>IF(CdTrp1!S53=1,3,IF(CdTrp1!S53=0.5,2,IF(CdTrp1!S53=0,1,0)))</f>
        <v>1</v>
      </c>
      <c r="BN38" s="171">
        <f>IF(CdTrp1!T53=1,3,IF(CdTrp1!T53=0.5,2,IF(CdTrp1!T53=0,1,0)))</f>
        <v>1</v>
      </c>
      <c r="BO38" s="171">
        <f>IF(CdTrp1!U53=1,3,IF(CdTrp1!U53=0.5,2,IF(CdTrp1!U53=0,1,0)))</f>
        <v>1</v>
      </c>
      <c r="BP38" s="171">
        <f>IF(CdTrp1!V53=1,3,IF(CdTrp1!V53=0.5,2,IF(CdTrp1!V53=0,1,0)))</f>
        <v>1</v>
      </c>
      <c r="BQ38" s="171">
        <f>IF(CdTrp1!W53=1,3,IF(CdTrp1!W53=0.5,2,IF(CdTrp1!W53=0,1,0)))</f>
        <v>1</v>
      </c>
      <c r="BR38" s="171">
        <f>IF(CdTrp1!X53=1,3,IF(CdTrp1!X53=0.5,2,IF(CdTrp1!X53=0,1,0)))</f>
        <v>1</v>
      </c>
      <c r="BS38" s="171">
        <f>IF(CdTrp1!Y53=1,3,IF(CdTrp1!Y53=0.5,2,IF(CdTrp1!Y53=0,1,0)))</f>
        <v>1</v>
      </c>
      <c r="BU38">
        <v>2</v>
      </c>
      <c r="BV38" t="s">
        <v>793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559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765</v>
      </c>
      <c r="AT39" s="259" t="str">
        <f>CdTrp1!$A54</f>
        <v>génisse 6mois 1 an</v>
      </c>
      <c r="AU39" s="32"/>
      <c r="AV39" s="171">
        <f>IF(CdTrp1!B54=1,3,IF(CdTrp1!B54=0.5,2,IF(CdTrp1!B54=0,1,0)))</f>
        <v>0</v>
      </c>
      <c r="AW39" s="171">
        <f>IF(CdTrp1!C54=1,3,IF(CdTrp1!C54=0.5,2,IF(CdTrp1!C54=0,1,0)))</f>
        <v>0</v>
      </c>
      <c r="AX39" s="171">
        <f>IF(CdTrp1!D54=1,3,IF(CdTrp1!D54=0.5,2,IF(CdTrp1!D54=0,1,0)))</f>
        <v>0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3</v>
      </c>
      <c r="BI39" s="171">
        <f>IF(CdTrp1!O54=1,3,IF(CdTrp1!O54=0.5,2,IF(CdTrp1!O54=0,1,0)))</f>
        <v>3</v>
      </c>
      <c r="BJ39" s="171">
        <f>IF(CdTrp1!P54=1,3,IF(CdTrp1!P54=0.5,2,IF(CdTrp1!P54=0,1,0)))</f>
        <v>3</v>
      </c>
      <c r="BK39" s="171">
        <f>IF(CdTrp1!Q54=1,3,IF(CdTrp1!Q54=0.5,2,IF(CdTrp1!Q54=0,1,0)))</f>
        <v>3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0</v>
      </c>
      <c r="BS39" s="171">
        <f>IF(CdTrp1!Y54=1,3,IF(CdTrp1!Y54=0.5,2,IF(CdTrp1!Y54=0,1,0)))</f>
        <v>0</v>
      </c>
      <c r="BU39">
        <v>1</v>
      </c>
      <c r="BV39" t="s">
        <v>794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765</v>
      </c>
      <c r="AT40" s="185" t="str">
        <f>CdTrp1!$A55</f>
        <v>réforme</v>
      </c>
      <c r="AU40" s="32"/>
      <c r="AV40" s="171">
        <f>IF(CdTrp1!B55=1,3,IF(CdTrp1!B55=0.5,2,IF(CdTrp1!B55=0,1,0)))</f>
        <v>0</v>
      </c>
      <c r="AW40" s="171">
        <f>IF(CdTrp1!C55=1,3,IF(CdTrp1!C55=0.5,2,IF(CdTrp1!C55=0,1,0)))</f>
        <v>0</v>
      </c>
      <c r="AX40" s="171">
        <f>IF(CdTrp1!D55=1,3,IF(CdTrp1!D55=0.5,2,IF(CdTrp1!D55=0,1,0)))</f>
        <v>0</v>
      </c>
      <c r="AY40" s="171">
        <f>IF(CdTrp1!E55=1,3,IF(CdTrp1!E55=0.5,2,IF(CdTrp1!E55=0,1,0)))</f>
        <v>0</v>
      </c>
      <c r="AZ40" s="171">
        <f>IF(CdTrp1!F55=1,3,IF(CdTrp1!F55=0.5,2,IF(CdTrp1!F55=0,1,0)))</f>
        <v>1</v>
      </c>
      <c r="BA40" s="171">
        <f>IF(CdTrp1!G55=1,3,IF(CdTrp1!G55=0.5,2,IF(CdTrp1!G55=0,1,0)))</f>
        <v>1</v>
      </c>
      <c r="BB40" s="171">
        <f>IF(CdTrp1!H55=1,3,IF(CdTrp1!H55=0.5,2,IF(CdTrp1!H55=0,1,0)))</f>
        <v>1</v>
      </c>
      <c r="BC40" s="171">
        <f>IF(CdTrp1!I55=1,3,IF(CdTrp1!I55=0.5,2,IF(CdTrp1!I55=0,1,0)))</f>
        <v>1</v>
      </c>
      <c r="BD40" s="171">
        <f>IF(CdTrp1!J55=1,3,IF(CdTrp1!J55=0.5,2,IF(CdTrp1!J55=0,1,0)))</f>
        <v>1</v>
      </c>
      <c r="BE40" s="171">
        <f>IF(CdTrp1!K55=1,3,IF(CdTrp1!K55=0.5,2,IF(CdTrp1!K55=0,1,0)))</f>
        <v>1</v>
      </c>
      <c r="BF40" s="171">
        <f>IF(CdTrp1!L55=1,3,IF(CdTrp1!L55=0.5,2,IF(CdTrp1!L55=0,1,0)))</f>
        <v>1</v>
      </c>
      <c r="BG40" s="171">
        <f>IF(CdTrp1!M55=1,3,IF(CdTrp1!M55=0.5,2,IF(CdTrp1!M55=0,1,0)))</f>
        <v>1</v>
      </c>
      <c r="BH40" s="171">
        <f>IF(CdTrp1!N55=1,3,IF(CdTrp1!N55=0.5,2,IF(CdTrp1!N55=0,1,0)))</f>
        <v>1</v>
      </c>
      <c r="BI40" s="171">
        <f>IF(CdTrp1!O55=1,3,IF(CdTrp1!O55=0.5,2,IF(CdTrp1!O55=0,1,0)))</f>
        <v>1</v>
      </c>
      <c r="BJ40" s="171">
        <f>IF(CdTrp1!P55=1,3,IF(CdTrp1!P55=0.5,2,IF(CdTrp1!P55=0,1,0)))</f>
        <v>1</v>
      </c>
      <c r="BK40" s="171">
        <f>IF(CdTrp1!Q55=1,3,IF(CdTrp1!Q55=0.5,2,IF(CdTrp1!Q55=0,1,0)))</f>
        <v>1</v>
      </c>
      <c r="BL40" s="171">
        <f>IF(CdTrp1!R55=1,3,IF(CdTrp1!R55=0.5,2,IF(CdTrp1!R55=0,1,0)))</f>
        <v>1</v>
      </c>
      <c r="BM40" s="171">
        <f>IF(CdTrp1!S55=1,3,IF(CdTrp1!S55=0.5,2,IF(CdTrp1!S55=0,1,0)))</f>
        <v>1</v>
      </c>
      <c r="BN40" s="171">
        <f>IF(CdTrp1!T55=1,3,IF(CdTrp1!T55=0.5,2,IF(CdTrp1!T55=0,1,0)))</f>
        <v>1</v>
      </c>
      <c r="BO40" s="171">
        <f>IF(CdTrp1!U55=1,3,IF(CdTrp1!U55=0.5,2,IF(CdTrp1!U55=0,1,0)))</f>
        <v>1</v>
      </c>
      <c r="BP40" s="171">
        <f>IF(CdTrp1!V55=1,3,IF(CdTrp1!V55=0.5,2,IF(CdTrp1!V55=0,1,0)))</f>
        <v>1</v>
      </c>
      <c r="BQ40" s="171">
        <f>IF(CdTrp1!W55=1,3,IF(CdTrp1!W55=0.5,2,IF(CdTrp1!W55=0,1,0)))</f>
        <v>1</v>
      </c>
      <c r="BR40" s="171">
        <f>IF(CdTrp1!X55=1,3,IF(CdTrp1!X55=0.5,2,IF(CdTrp1!X55=0,1,0)))</f>
        <v>1</v>
      </c>
      <c r="BS40" s="171">
        <f>IF(CdTrp1!Y55=1,3,IF(CdTrp1!Y55=0.5,2,IF(CdTrp1!Y55=0,1,0)))</f>
        <v>0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765</v>
      </c>
      <c r="AT41" s="259" t="str">
        <f>CdTrp1!$A56</f>
        <v>broutard</v>
      </c>
      <c r="AU41" s="32"/>
      <c r="AV41" s="171">
        <f>IF(CdTrp1!B56=1,3,IF(CdTrp1!B56=0.5,2,IF(CdTrp1!B56=0,1,0)))</f>
        <v>3</v>
      </c>
      <c r="AW41" s="171">
        <f>IF(CdTrp1!C56=1,3,IF(CdTrp1!C56=0.5,2,IF(CdTrp1!C56=0,1,0)))</f>
        <v>3</v>
      </c>
      <c r="AX41" s="171">
        <f>IF(CdTrp1!D56=1,3,IF(CdTrp1!D56=0.5,2,IF(CdTrp1!D56=0,1,0)))</f>
        <v>3</v>
      </c>
      <c r="AY41" s="171">
        <f>IF(CdTrp1!E56=1,3,IF(CdTrp1!E56=0.5,2,IF(CdTrp1!E56=0,1,0)))</f>
        <v>3</v>
      </c>
      <c r="AZ41" s="171">
        <f>IF(CdTrp1!F56=1,3,IF(CdTrp1!F56=0.5,2,IF(CdTrp1!F56=0,1,0)))</f>
        <v>3</v>
      </c>
      <c r="BA41" s="171">
        <f>IF(CdTrp1!G56=1,3,IF(CdTrp1!G56=0.5,2,IF(CdTrp1!G56=0,1,0)))</f>
        <v>3</v>
      </c>
      <c r="BB41" s="171">
        <f>IF(CdTrp1!H56=1,3,IF(CdTrp1!H56=0.5,2,IF(CdTrp1!H56=0,1,0)))</f>
        <v>3</v>
      </c>
      <c r="BC41" s="171">
        <f>IF(CdTrp1!I56=1,3,IF(CdTrp1!I56=0.5,2,IF(CdTrp1!I56=0,1,0)))</f>
        <v>3</v>
      </c>
      <c r="BD41" s="171">
        <f>IF(CdTrp1!J56=1,3,IF(CdTrp1!J56=0.5,2,IF(CdTrp1!J56=0,1,0)))</f>
        <v>1</v>
      </c>
      <c r="BE41" s="171">
        <f>IF(CdTrp1!K56=1,3,IF(CdTrp1!K56=0.5,2,IF(CdTrp1!K56=0,1,0)))</f>
        <v>1</v>
      </c>
      <c r="BF41" s="171">
        <f>IF(CdTrp1!L56=1,3,IF(CdTrp1!L56=0.5,2,IF(CdTrp1!L56=0,1,0)))</f>
        <v>1</v>
      </c>
      <c r="BG41" s="171">
        <f>IF(CdTrp1!M56=1,3,IF(CdTrp1!M56=0.5,2,IF(CdTrp1!M56=0,1,0)))</f>
        <v>1</v>
      </c>
      <c r="BH41" s="171">
        <f>IF(CdTrp1!N56=1,3,IF(CdTrp1!N56=0.5,2,IF(CdTrp1!N56=0,1,0)))</f>
        <v>1</v>
      </c>
      <c r="BI41" s="171">
        <f>IF(CdTrp1!O56=1,3,IF(CdTrp1!O56=0.5,2,IF(CdTrp1!O56=0,1,0)))</f>
        <v>1</v>
      </c>
      <c r="BJ41" s="171">
        <f>IF(CdTrp1!P56=1,3,IF(CdTrp1!P56=0.5,2,IF(CdTrp1!P56=0,1,0)))</f>
        <v>1</v>
      </c>
      <c r="BK41" s="171">
        <f>IF(CdTrp1!Q56=1,3,IF(CdTrp1!Q56=0.5,2,IF(CdTrp1!Q56=0,1,0)))</f>
        <v>1</v>
      </c>
      <c r="BL41" s="171">
        <f>IF(CdTrp1!R56=1,3,IF(CdTrp1!R56=0.5,2,IF(CdTrp1!R56=0,1,0)))</f>
        <v>1</v>
      </c>
      <c r="BM41" s="171">
        <f>IF(CdTrp1!S56=1,3,IF(CdTrp1!S56=0.5,2,IF(CdTrp1!S56=0,1,0)))</f>
        <v>1</v>
      </c>
      <c r="BN41" s="171">
        <f>IF(CdTrp1!T56=1,3,IF(CdTrp1!T56=0.5,2,IF(CdTrp1!T56=0,1,0)))</f>
        <v>3</v>
      </c>
      <c r="BO41" s="171">
        <f>IF(CdTrp1!U56=1,3,IF(CdTrp1!U56=0.5,2,IF(CdTrp1!U56=0,1,0)))</f>
        <v>3</v>
      </c>
      <c r="BP41" s="171">
        <f>IF(CdTrp1!V56=1,3,IF(CdTrp1!V56=0.5,2,IF(CdTrp1!V56=0,1,0)))</f>
        <v>3</v>
      </c>
      <c r="BQ41" s="171">
        <f>IF(CdTrp1!W56=1,3,IF(CdTrp1!W56=0.5,2,IF(CdTrp1!W56=0,1,0)))</f>
        <v>3</v>
      </c>
      <c r="BR41" s="171">
        <f>IF(CdTrp1!X56=1,3,IF(CdTrp1!X56=0.5,2,IF(CdTrp1!X56=0,1,0)))</f>
        <v>3</v>
      </c>
      <c r="BS41" s="171">
        <f>IF(CdTrp1!Y56=1,3,IF(CdTrp1!Y56=0.5,2,IF(CdTrp1!Y56=0,1,0)))</f>
        <v>3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795</v>
      </c>
      <c r="B42" s="2"/>
      <c r="F42" s="33"/>
      <c r="AR42" s="184" t="s">
        <v>765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559</v>
      </c>
      <c r="AR43" s="184" t="s">
        <v>765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573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765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580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765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765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765</v>
      </c>
      <c r="AT47" s="2" t="s">
        <v>796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796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796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797</v>
      </c>
      <c r="AR48" s="184" t="s">
        <v>765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1</v>
      </c>
      <c r="BC48" s="171">
        <f>IF(CdTrp1!I76=1,1,IF(CdTrp1!I76=2,2,IF(CdTrp1!I76=3,2,0)))</f>
        <v>1</v>
      </c>
      <c r="BD48" s="171">
        <f>IF(CdTrp1!J76=1,1,IF(CdTrp1!J76=2,2,IF(CdTrp1!J76=3,2,0)))</f>
        <v>1</v>
      </c>
      <c r="BE48" s="171">
        <f>IF(CdTrp1!K76=1,1,IF(CdTrp1!K76=2,2,IF(CdTrp1!K76=3,2,0)))</f>
        <v>1</v>
      </c>
      <c r="BF48" s="171">
        <f>IF(CdTrp1!L76=1,1,IF(CdTrp1!L76=2,2,IF(CdTrp1!L76=3,2,0)))</f>
        <v>1</v>
      </c>
      <c r="BG48" s="171">
        <f>IF(CdTrp1!M76=1,1,IF(CdTrp1!M76=2,2,IF(CdTrp1!M76=3,2,0)))</f>
        <v>1</v>
      </c>
      <c r="BH48" s="171">
        <f>IF(CdTrp1!N76=1,1,IF(CdTrp1!N76=2,2,IF(CdTrp1!N76=3,2,0)))</f>
        <v>1</v>
      </c>
      <c r="BI48" s="171">
        <f>IF(CdTrp1!O76=1,1,IF(CdTrp1!O76=2,2,IF(CdTrp1!O76=3,2,0)))</f>
        <v>1</v>
      </c>
      <c r="BJ48" s="171">
        <f>IF(CdTrp1!P76=1,1,IF(CdTrp1!P76=2,2,IF(CdTrp1!P76=3,2,0)))</f>
        <v>1</v>
      </c>
      <c r="BK48" s="171">
        <f>IF(CdTrp1!Q76=1,1,IF(CdTrp1!Q76=2,2,IF(CdTrp1!Q76=3,2,0)))</f>
        <v>1</v>
      </c>
      <c r="BL48" s="171">
        <f>IF(CdTrp1!R76=1,1,IF(CdTrp1!R76=2,2,IF(CdTrp1!R76=3,2,0)))</f>
        <v>1</v>
      </c>
      <c r="BM48" s="171">
        <f>IF(CdTrp1!S76=1,1,IF(CdTrp1!S76=2,2,IF(CdTrp1!S76=3,2,0)))</f>
        <v>1</v>
      </c>
      <c r="BN48" s="171">
        <f>IF(CdTrp1!T76=1,1,IF(CdTrp1!T76=2,2,IF(CdTrp1!T76=3,2,0)))</f>
        <v>1</v>
      </c>
      <c r="BO48" s="171">
        <f>IF(CdTrp1!U76=1,1,IF(CdTrp1!U76=2,2,IF(CdTrp1!U76=3,2,0)))</f>
        <v>1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798</v>
      </c>
      <c r="B49" s="169" t="s">
        <v>51</v>
      </c>
      <c r="C49" t="s">
        <v>799</v>
      </c>
      <c r="AR49" s="184" t="s">
        <v>765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1</v>
      </c>
      <c r="AW49" s="171">
        <f>IF(CdTrp1!C77=1,1,IF(CdTrp1!C77=2,2,IF(CdTrp1!C77=3,2,0)))</f>
        <v>1</v>
      </c>
      <c r="AX49" s="171">
        <f>IF(CdTrp1!D77=1,1,IF(CdTrp1!D77=2,2,IF(CdTrp1!D77=3,2,0)))</f>
        <v>1</v>
      </c>
      <c r="AY49" s="171">
        <f>IF(CdTrp1!E77=1,1,IF(CdTrp1!E77=2,2,IF(CdTrp1!E77=3,2,0)))</f>
        <v>1</v>
      </c>
      <c r="AZ49" s="171">
        <f>IF(CdTrp1!F77=1,1,IF(CdTrp1!F77=2,2,IF(CdTrp1!F77=3,2,0)))</f>
        <v>2</v>
      </c>
      <c r="BA49" s="171">
        <f>IF(CdTrp1!G77=1,1,IF(CdTrp1!G77=2,2,IF(CdTrp1!G77=3,2,0)))</f>
        <v>2</v>
      </c>
      <c r="BB49" s="171">
        <f>IF(CdTrp1!H77=1,1,IF(CdTrp1!H77=2,2,IF(CdTrp1!H77=3,2,0)))</f>
        <v>2</v>
      </c>
      <c r="BC49" s="171">
        <f>IF(CdTrp1!I77=1,1,IF(CdTrp1!I77=2,2,IF(CdTrp1!I77=3,2,0)))</f>
        <v>2</v>
      </c>
      <c r="BD49" s="171">
        <f>IF(CdTrp1!J77=1,1,IF(CdTrp1!J77=2,2,IF(CdTrp1!J77=3,2,0)))</f>
        <v>2</v>
      </c>
      <c r="BE49" s="171">
        <f>IF(CdTrp1!K77=1,1,IF(CdTrp1!K77=2,2,IF(CdTrp1!K77=3,2,0)))</f>
        <v>2</v>
      </c>
      <c r="BF49" s="171">
        <f>IF(CdTrp1!L77=1,1,IF(CdTrp1!L77=2,2,IF(CdTrp1!L77=3,2,0)))</f>
        <v>2</v>
      </c>
      <c r="BG49" s="171">
        <f>IF(CdTrp1!M77=1,1,IF(CdTrp1!M77=2,2,IF(CdTrp1!M77=3,2,0)))</f>
        <v>2</v>
      </c>
      <c r="BH49" s="171">
        <f>IF(CdTrp1!N77=1,1,IF(CdTrp1!N77=2,2,IF(CdTrp1!N77=3,2,0)))</f>
        <v>2</v>
      </c>
      <c r="BI49" s="171">
        <f>IF(CdTrp1!O77=1,1,IF(CdTrp1!O77=2,2,IF(CdTrp1!O77=3,2,0)))</f>
        <v>2</v>
      </c>
      <c r="BJ49" s="171">
        <f>IF(CdTrp1!P77=1,1,IF(CdTrp1!P77=2,2,IF(CdTrp1!P77=3,2,0)))</f>
        <v>2</v>
      </c>
      <c r="BK49" s="171">
        <f>IF(CdTrp1!Q77=1,1,IF(CdTrp1!Q77=2,2,IF(CdTrp1!Q77=3,2,0)))</f>
        <v>2</v>
      </c>
      <c r="BL49" s="171">
        <f>IF(CdTrp1!R77=1,1,IF(CdTrp1!R77=2,2,IF(CdTrp1!R77=3,2,0)))</f>
        <v>2</v>
      </c>
      <c r="BM49" s="171">
        <f>IF(CdTrp1!S77=1,1,IF(CdTrp1!S77=2,2,IF(CdTrp1!S77=3,2,0)))</f>
        <v>2</v>
      </c>
      <c r="BN49" s="171">
        <f>IF(CdTrp1!T77=1,1,IF(CdTrp1!T77=2,2,IF(CdTrp1!T77=3,2,0)))</f>
        <v>2</v>
      </c>
      <c r="BO49" s="171">
        <f>IF(CdTrp1!U77=1,1,IF(CdTrp1!U77=2,2,IF(CdTrp1!U77=3,2,0)))</f>
        <v>2</v>
      </c>
      <c r="BP49" s="171">
        <f>IF(CdTrp1!V77=1,1,IF(CdTrp1!V77=2,2,IF(CdTrp1!V77=3,2,0)))</f>
        <v>2</v>
      </c>
      <c r="BQ49" s="171">
        <f>IF(CdTrp1!W77=1,1,IF(CdTrp1!W77=2,2,IF(CdTrp1!W77=3,2,0)))</f>
        <v>1</v>
      </c>
      <c r="BR49" s="171">
        <f>IF(CdTrp1!X77=1,1,IF(CdTrp1!X77=2,2,IF(CdTrp1!X77=3,2,0)))</f>
        <v>1</v>
      </c>
      <c r="BS49" s="171">
        <f>IF(CdTrp1!Y77=1,1,IF(CdTrp1!Y77=2,2,IF(CdTrp1!Y77=3,2,0)))</f>
        <v>1</v>
      </c>
      <c r="BU49">
        <v>2</v>
      </c>
      <c r="BV49" t="s">
        <v>800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801</v>
      </c>
      <c r="B50" s="171">
        <f>Scénario!K35+Scénario!K36</f>
        <v>2</v>
      </c>
      <c r="C50" s="186">
        <f>IF(B50&gt;[1]Trav!$E$116,[1]Trav!C116,[1]Trav!B116)</f>
        <v>11</v>
      </c>
      <c r="E50" s="170"/>
      <c r="F50" s="171">
        <f>ROUND(B50*C50,0)</f>
        <v>22</v>
      </c>
      <c r="AR50" s="184" t="s">
        <v>765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0</v>
      </c>
      <c r="BI50" s="171">
        <f>IF(CdTrp1!O78=1,1,IF(CdTrp1!O78=2,2,IF(CdTrp1!O78=3,2,0)))</f>
        <v>0</v>
      </c>
      <c r="BJ50" s="171">
        <f>IF(CdTrp1!P78=1,1,IF(CdTrp1!P78=2,2,IF(CdTrp1!P78=3,2,0)))</f>
        <v>0</v>
      </c>
      <c r="BK50" s="171">
        <f>IF(CdTrp1!Q78=1,1,IF(CdTrp1!Q78=2,2,IF(CdTrp1!Q78=3,2,0)))</f>
        <v>0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802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803</v>
      </c>
      <c r="B51" s="171">
        <f>Scénario!K34</f>
        <v>1.5</v>
      </c>
      <c r="C51" s="186">
        <f>IF(B51&gt;[1]Trav!E117,[1]Trav!C117,[1]Trav!B117)</f>
        <v>15.7</v>
      </c>
      <c r="E51" s="170"/>
      <c r="F51" s="171">
        <f t="shared" ref="F51:F59" si="32">ROUND(B51*C51,0)</f>
        <v>24</v>
      </c>
      <c r="AR51" s="184" t="s">
        <v>765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1</v>
      </c>
      <c r="BA51" s="171">
        <f>IF(CdTrp1!G79=1,1,IF(CdTrp1!G79=2,2,IF(CdTrp1!G79=3,2,0)))</f>
        <v>1</v>
      </c>
      <c r="BB51" s="171">
        <f>IF(CdTrp1!H79=1,1,IF(CdTrp1!H79=2,2,IF(CdTrp1!H79=3,2,0)))</f>
        <v>1</v>
      </c>
      <c r="BC51" s="171">
        <f>IF(CdTrp1!I79=1,1,IF(CdTrp1!I79=2,2,IF(CdTrp1!I79=3,2,0)))</f>
        <v>1</v>
      </c>
      <c r="BD51" s="171">
        <f>IF(CdTrp1!J79=1,1,IF(CdTrp1!J79=2,2,IF(CdTrp1!J79=3,2,0)))</f>
        <v>1</v>
      </c>
      <c r="BE51" s="171">
        <f>IF(CdTrp1!K79=1,1,IF(CdTrp1!K79=2,2,IF(CdTrp1!K79=3,2,0)))</f>
        <v>1</v>
      </c>
      <c r="BF51" s="171">
        <f>IF(CdTrp1!L79=1,1,IF(CdTrp1!L79=2,2,IF(CdTrp1!L79=3,2,0)))</f>
        <v>1</v>
      </c>
      <c r="BG51" s="171">
        <f>IF(CdTrp1!M79=1,1,IF(CdTrp1!M79=2,2,IF(CdTrp1!M79=3,2,0)))</f>
        <v>1</v>
      </c>
      <c r="BH51" s="171">
        <f>IF(CdTrp1!N79=1,1,IF(CdTrp1!N79=2,2,IF(CdTrp1!N79=3,2,0)))</f>
        <v>1</v>
      </c>
      <c r="BI51" s="171">
        <f>IF(CdTrp1!O79=1,1,IF(CdTrp1!O79=2,2,IF(CdTrp1!O79=3,2,0)))</f>
        <v>1</v>
      </c>
      <c r="BJ51" s="171">
        <f>IF(CdTrp1!P79=1,1,IF(CdTrp1!P79=2,2,IF(CdTrp1!P79=3,2,0)))</f>
        <v>1</v>
      </c>
      <c r="BK51" s="171">
        <f>IF(CdTrp1!Q79=1,1,IF(CdTrp1!Q79=2,2,IF(CdTrp1!Q79=3,2,0)))</f>
        <v>1</v>
      </c>
      <c r="BL51" s="171">
        <f>IF(CdTrp1!R79=1,1,IF(CdTrp1!R79=2,2,IF(CdTrp1!R79=3,2,0)))</f>
        <v>1</v>
      </c>
      <c r="BM51" s="171">
        <f>IF(CdTrp1!S79=1,1,IF(CdTrp1!S79=2,2,IF(CdTrp1!S79=3,2,0)))</f>
        <v>1</v>
      </c>
      <c r="BN51" s="171">
        <f>IF(CdTrp1!T79=1,1,IF(CdTrp1!T79=2,2,IF(CdTrp1!T79=3,2,0)))</f>
        <v>1</v>
      </c>
      <c r="BO51" s="171">
        <f>IF(CdTrp1!U79=1,1,IF(CdTrp1!U79=2,2,IF(CdTrp1!U79=3,2,0)))</f>
        <v>1</v>
      </c>
      <c r="BP51" s="171">
        <f>IF(CdTrp1!V79=1,1,IF(CdTrp1!V79=2,2,IF(CdTrp1!V79=3,2,0)))</f>
        <v>1</v>
      </c>
      <c r="BQ51" s="171">
        <f>IF(CdTrp1!W79=1,1,IF(CdTrp1!W79=2,2,IF(CdTrp1!W79=3,2,0)))</f>
        <v>1</v>
      </c>
      <c r="BR51" s="171">
        <f>IF(CdTrp1!X79=1,1,IF(CdTrp1!X79=2,2,IF(CdTrp1!X79=3,2,0)))</f>
        <v>1</v>
      </c>
      <c r="BS51" s="171">
        <f>IF(CdTrp1!Y79=1,1,IF(CdTrp1!Y79=2,2,IF(CdTrp1!Y79=3,2,0)))</f>
        <v>0</v>
      </c>
      <c r="BU51">
        <v>0</v>
      </c>
      <c r="BV51" t="s">
        <v>804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805</v>
      </c>
      <c r="B52" s="171">
        <f>Scénario!K40/[1]Trav!$B$124</f>
        <v>1.5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765</v>
      </c>
      <c r="AT52" s="185" t="str">
        <f t="shared" si="31"/>
        <v>broutard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806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765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807</v>
      </c>
      <c r="B54" s="171">
        <f>SUM(Scénario!K40:K42)</f>
        <v>46</v>
      </c>
      <c r="C54" s="186">
        <f>IF(B54&gt;[1]Trav!E119,[1]Trav!C119,[1]Trav!B119)</f>
        <v>1.4</v>
      </c>
      <c r="D54"/>
      <c r="E54" s="170"/>
      <c r="F54" s="171">
        <f t="shared" si="32"/>
        <v>64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765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808</v>
      </c>
      <c r="B55" s="171">
        <f>Scénario!M28*(1-Scénario!K31/100)</f>
        <v>6</v>
      </c>
      <c r="C55" s="186">
        <f>IF(B55&gt;[1]Trav!E121,[1]Trav!C121,[1]Trav!B121)</f>
        <v>7.2</v>
      </c>
      <c r="D55"/>
      <c r="E55" s="170"/>
      <c r="F55" s="171">
        <f t="shared" si="32"/>
        <v>43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765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809</v>
      </c>
      <c r="B56" s="171">
        <f>Scénario!M29</f>
        <v>3.5</v>
      </c>
      <c r="C56" s="186">
        <f>IF(B56&gt;[1]Trav!E121,[1]Trav!C121,[1]Trav!B121)</f>
        <v>7.2</v>
      </c>
      <c r="D56"/>
      <c r="E56" s="170"/>
      <c r="F56" s="171">
        <f t="shared" si="32"/>
        <v>25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765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810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765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811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765</v>
      </c>
      <c r="AT58" s="40" t="s">
        <v>812</v>
      </c>
      <c r="AU58" s="14"/>
      <c r="BZ58" s="40" t="s">
        <v>812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812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813</v>
      </c>
      <c r="B59" s="175">
        <f>Scénario!K32</f>
        <v>4</v>
      </c>
      <c r="C59" s="186">
        <f>[1]Trav!$B$123</f>
        <v>7.2</v>
      </c>
      <c r="E59" s="170"/>
      <c r="F59" s="171">
        <f t="shared" si="32"/>
        <v>29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765</v>
      </c>
      <c r="AT59" s="14" t="s">
        <v>814</v>
      </c>
      <c r="AU59" s="30">
        <f>VALUE(CONCATENATE(Scénario!K8,Travail!AU2))</f>
        <v>42</v>
      </c>
      <c r="BZ59" s="14" t="s">
        <v>814</v>
      </c>
      <c r="CA59" s="30">
        <f>VALUE(CONCATENATE(Scénario!K8,Travail!CA2))</f>
        <v>40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814</v>
      </c>
      <c r="DD59" s="30">
        <f>VALUE(CONCATENATE(Scénario!K8,Travail!DD2))</f>
        <v>40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815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765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221</v>
      </c>
      <c r="BC60" s="171">
        <f>IF(BC15=0,0,IF(BC37=3,0,VALUE(CONCATENATE(Travail!BC26,Travail!BC37,Travail!BC48))))</f>
        <v>221</v>
      </c>
      <c r="BD60" s="171">
        <f>IF(BD15=0,0,IF(BD37=3,0,VALUE(CONCATENATE(Travail!BD26,Travail!BD37,Travail!BD48))))</f>
        <v>211</v>
      </c>
      <c r="BE60" s="171">
        <f>IF(BE15=0,0,IF(BE37=3,0,VALUE(CONCATENATE(Travail!BE26,Travail!BE37,Travail!BE48))))</f>
        <v>211</v>
      </c>
      <c r="BF60" s="171">
        <f>IF(BF15=0,0,IF(BF37=3,0,VALUE(CONCATENATE(Travail!BF26,Travail!BF37,Travail!BF48))))</f>
        <v>211</v>
      </c>
      <c r="BG60" s="171">
        <f>IF(BG15=0,0,IF(BG37=3,0,VALUE(CONCATENATE(Travail!BG26,Travail!BG37,Travail!BG48))))</f>
        <v>211</v>
      </c>
      <c r="BH60" s="171">
        <f>IF(BH15=0,0,IF(BH37=3,0,VALUE(CONCATENATE(Travail!BH26,Travail!BH37,Travail!BH48))))</f>
        <v>211</v>
      </c>
      <c r="BI60" s="171">
        <f>IF(BI15=0,0,IF(BI37=3,0,VALUE(CONCATENATE(Travail!BI26,Travail!BI37,Travail!BI48))))</f>
        <v>211</v>
      </c>
      <c r="BJ60" s="171">
        <f>IF(BJ15=0,0,IF(BJ37=3,0,VALUE(CONCATENATE(Travail!BJ26,Travail!BJ37,Travail!BJ48))))</f>
        <v>211</v>
      </c>
      <c r="BK60" s="171">
        <f>IF(BK15=0,0,IF(BK37=3,0,VALUE(CONCATENATE(Travail!BK26,Travail!BK37,Travail!BK48))))</f>
        <v>211</v>
      </c>
      <c r="BL60" s="171">
        <f>IF(BL15=0,0,IF(BL37=3,0,VALUE(CONCATENATE(Travail!BL26,Travail!BL37,Travail!BL48))))</f>
        <v>211</v>
      </c>
      <c r="BM60" s="171">
        <f>IF(BM15=0,0,IF(BM37=3,0,VALUE(CONCATENATE(Travail!BM26,Travail!BM37,Travail!BM48))))</f>
        <v>211</v>
      </c>
      <c r="BN60" s="171">
        <f>IF(BN15=0,0,IF(BN37=3,0,VALUE(CONCATENATE(Travail!BN26,Travail!BN37,Travail!BN48))))</f>
        <v>221</v>
      </c>
      <c r="BO60" s="171">
        <f>IF(BO15=0,0,IF(BO37=3,0,VALUE(CONCATENATE(Travail!BO26,Travail!BO37,Travail!BO48))))</f>
        <v>221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816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817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765</v>
      </c>
      <c r="AT61" s="185" t="str">
        <f>+AT49</f>
        <v>Génisses de renouvellement</v>
      </c>
      <c r="AV61" s="171">
        <f>IF(AV16=0,0,IF(AV38=3,0,VALUE(CONCATENATE(Travail!AV27,Travail!AV38,Travail!AV49))))</f>
        <v>111</v>
      </c>
      <c r="AW61" s="171">
        <f>IF(AW16=0,0,IF(AW38=3,0,VALUE(CONCATENATE(Travail!AW27,Travail!AW38,Travail!AW49))))</f>
        <v>111</v>
      </c>
      <c r="AX61" s="171">
        <f>IF(AX16=0,0,IF(AX38=3,0,VALUE(CONCATENATE(Travail!AX27,Travail!AX38,Travail!AX49))))</f>
        <v>111</v>
      </c>
      <c r="AY61" s="171">
        <f>IF(AY16=0,0,IF(AY38=3,0,VALUE(CONCATENATE(Travail!AY27,Travail!AY38,Travail!AY49))))</f>
        <v>111</v>
      </c>
      <c r="AZ61" s="171">
        <f>IF(AZ16=0,0,IF(AZ38=3,0,VALUE(CONCATENATE(Travail!AZ27,Travail!AZ38,Travail!AZ49))))</f>
        <v>112</v>
      </c>
      <c r="BA61" s="171">
        <f>IF(BA16=0,0,IF(BA38=3,0,VALUE(CONCATENATE(Travail!BA27,Travail!BA38,Travail!BA49))))</f>
        <v>112</v>
      </c>
      <c r="BB61" s="171">
        <f>IF(BB16=0,0,IF(BB38=3,0,VALUE(CONCATENATE(Travail!BB27,Travail!BB38,Travail!BB49))))</f>
        <v>112</v>
      </c>
      <c r="BC61" s="171">
        <f>IF(BC16=0,0,IF(BC38=3,0,VALUE(CONCATENATE(Travail!BC27,Travail!BC38,Travail!BC49))))</f>
        <v>112</v>
      </c>
      <c r="BD61" s="171">
        <f>IF(BD16=0,0,IF(BD38=3,0,VALUE(CONCATENATE(Travail!BD27,Travail!BD38,Travail!BD49))))</f>
        <v>112</v>
      </c>
      <c r="BE61" s="171">
        <f>IF(BE16=0,0,IF(BE38=3,0,VALUE(CONCATENATE(Travail!BE27,Travail!BE38,Travail!BE49))))</f>
        <v>112</v>
      </c>
      <c r="BF61" s="171">
        <f>IF(BF16=0,0,IF(BF38=3,0,VALUE(CONCATENATE(Travail!BF27,Travail!BF38,Travail!BF49))))</f>
        <v>112</v>
      </c>
      <c r="BG61" s="171">
        <f>IF(BG16=0,0,IF(BG38=3,0,VALUE(CONCATENATE(Travail!BG27,Travail!BG38,Travail!BG49))))</f>
        <v>112</v>
      </c>
      <c r="BH61" s="171">
        <f>IF(BH16=0,0,IF(BH38=3,0,VALUE(CONCATENATE(Travail!BH27,Travail!BH38,Travail!BH49))))</f>
        <v>112</v>
      </c>
      <c r="BI61" s="171">
        <f>IF(BI16=0,0,IF(BI38=3,0,VALUE(CONCATENATE(Travail!BI27,Travail!BI38,Travail!BI49))))</f>
        <v>112</v>
      </c>
      <c r="BJ61" s="171">
        <f>IF(BJ16=0,0,IF(BJ38=3,0,VALUE(CONCATENATE(Travail!BJ27,Travail!BJ38,Travail!BJ49))))</f>
        <v>112</v>
      </c>
      <c r="BK61" s="171">
        <f>IF(BK16=0,0,IF(BK38=3,0,VALUE(CONCATENATE(Travail!BK27,Travail!BK38,Travail!BK49))))</f>
        <v>112</v>
      </c>
      <c r="BL61" s="171">
        <f>IF(BL16=0,0,IF(BL38=3,0,VALUE(CONCATENATE(Travail!BL27,Travail!BL38,Travail!BL49))))</f>
        <v>112</v>
      </c>
      <c r="BM61" s="171">
        <f>IF(BM16=0,0,IF(BM38=3,0,VALUE(CONCATENATE(Travail!BM27,Travail!BM38,Travail!BM49))))</f>
        <v>112</v>
      </c>
      <c r="BN61" s="171">
        <f>IF(BN16=0,0,IF(BN38=3,0,VALUE(CONCATENATE(Travail!BN27,Travail!BN38,Travail!BN49))))</f>
        <v>112</v>
      </c>
      <c r="BO61" s="171">
        <f>IF(BO16=0,0,IF(BO38=3,0,VALUE(CONCATENATE(Travail!BO27,Travail!BO38,Travail!BO49))))</f>
        <v>112</v>
      </c>
      <c r="BP61" s="171">
        <f>IF(BP16=0,0,IF(BP38=3,0,VALUE(CONCATENATE(Travail!BP27,Travail!BP38,Travail!BP49))))</f>
        <v>112</v>
      </c>
      <c r="BQ61" s="171">
        <f>IF(BQ16=0,0,IF(BQ38=3,0,VALUE(CONCATENATE(Travail!BQ27,Travail!BQ38,Travail!BQ49))))</f>
        <v>111</v>
      </c>
      <c r="BR61" s="171">
        <f>IF(BR16=0,0,IF(BR38=3,0,VALUE(CONCATENATE(Travail!BR27,Travail!BR38,Travail!BR49))))</f>
        <v>111</v>
      </c>
      <c r="BS61" s="171">
        <f>IF(BS16=0,0,IF(BS38=3,0,VALUE(CONCATENATE(Travail!BS27,Travail!BS38,Travail!BS49))))</f>
        <v>111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818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765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0</v>
      </c>
      <c r="BI62" s="171">
        <f>IF(BI17=0,0,IF(BI39=3,0,VALUE(CONCATENATE(Travail!BI28,Travail!BI39,Travail!BI50))))</f>
        <v>0</v>
      </c>
      <c r="BJ62" s="171">
        <f>IF(BJ17=0,0,IF(BJ39=3,0,VALUE(CONCATENATE(Travail!BJ28,Travail!BJ39,Travail!BJ50))))</f>
        <v>0</v>
      </c>
      <c r="BK62" s="171">
        <f>IF(BK17=0,0,IF(BK39=3,0,VALUE(CONCATENATE(Travail!BK28,Travail!BK39,Travail!BK50))))</f>
        <v>0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819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765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111</v>
      </c>
      <c r="BA63" s="171">
        <f>IF(BA18=0,0,IF(BA40=3,0,VALUE(CONCATENATE(Travail!BA29,Travail!BA40,Travail!BA51))))</f>
        <v>111</v>
      </c>
      <c r="BB63" s="171">
        <f>IF(BB18=0,0,IF(BB40=3,0,VALUE(CONCATENATE(Travail!BB29,Travail!BB40,Travail!BB51))))</f>
        <v>111</v>
      </c>
      <c r="BC63" s="171">
        <f>IF(BC18=0,0,IF(BC40=3,0,VALUE(CONCATENATE(Travail!BC29,Travail!BC40,Travail!BC51))))</f>
        <v>111</v>
      </c>
      <c r="BD63" s="171">
        <f>IF(BD18=0,0,IF(BD40=3,0,VALUE(CONCATENATE(Travail!BD29,Travail!BD40,Travail!BD51))))</f>
        <v>111</v>
      </c>
      <c r="BE63" s="171">
        <f>IF(BE18=0,0,IF(BE40=3,0,VALUE(CONCATENATE(Travail!BE29,Travail!BE40,Travail!BE51))))</f>
        <v>111</v>
      </c>
      <c r="BF63" s="171">
        <f>IF(BF18=0,0,IF(BF40=3,0,VALUE(CONCATENATE(Travail!BF29,Travail!BF40,Travail!BF51))))</f>
        <v>111</v>
      </c>
      <c r="BG63" s="171">
        <f>IF(BG18=0,0,IF(BG40=3,0,VALUE(CONCATENATE(Travail!BG29,Travail!BG40,Travail!BG51))))</f>
        <v>111</v>
      </c>
      <c r="BH63" s="171">
        <f>IF(BH18=0,0,IF(BH40=3,0,VALUE(CONCATENATE(Travail!BH29,Travail!BH40,Travail!BH51))))</f>
        <v>111</v>
      </c>
      <c r="BI63" s="171">
        <f>IF(BI18=0,0,IF(BI40=3,0,VALUE(CONCATENATE(Travail!BI29,Travail!BI40,Travail!BI51))))</f>
        <v>111</v>
      </c>
      <c r="BJ63" s="171">
        <f>IF(BJ18=0,0,IF(BJ40=3,0,VALUE(CONCATENATE(Travail!BJ29,Travail!BJ40,Travail!BJ51))))</f>
        <v>111</v>
      </c>
      <c r="BK63" s="171">
        <f>IF(BK18=0,0,IF(BK40=3,0,VALUE(CONCATENATE(Travail!BK29,Travail!BK40,Travail!BK51))))</f>
        <v>111</v>
      </c>
      <c r="BL63" s="171">
        <f>IF(BL18=0,0,IF(BL40=3,0,VALUE(CONCATENATE(Travail!BL29,Travail!BL40,Travail!BL51))))</f>
        <v>111</v>
      </c>
      <c r="BM63" s="171">
        <f>IF(BM18=0,0,IF(BM40=3,0,VALUE(CONCATENATE(Travail!BM29,Travail!BM40,Travail!BM51))))</f>
        <v>111</v>
      </c>
      <c r="BN63" s="171">
        <f>IF(BN18=0,0,IF(BN40=3,0,VALUE(CONCATENATE(Travail!BN29,Travail!BN40,Travail!BN51))))</f>
        <v>111</v>
      </c>
      <c r="BO63" s="171">
        <f>IF(BO18=0,0,IF(BO40=3,0,VALUE(CONCATENATE(Travail!BO29,Travail!BO40,Travail!BO51))))</f>
        <v>111</v>
      </c>
      <c r="BP63" s="171">
        <f>IF(BP18=0,0,IF(BP40=3,0,VALUE(CONCATENATE(Travail!BP29,Travail!BP40,Travail!BP51))))</f>
        <v>111</v>
      </c>
      <c r="BQ63" s="171">
        <f>IF(BQ18=0,0,IF(BQ40=3,0,VALUE(CONCATENATE(Travail!BQ29,Travail!BQ40,Travail!BQ51))))</f>
        <v>111</v>
      </c>
      <c r="BR63" s="171">
        <f>IF(BR18=0,0,IF(BR40=3,0,VALUE(CONCATENATE(Travail!BR29,Travail!BR40,Travail!BR51))))</f>
        <v>111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820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broutard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821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765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765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822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765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823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765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824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765</v>
      </c>
      <c r="AT70" s="40" t="s">
        <v>825</v>
      </c>
      <c r="BZ70" s="40" t="s">
        <v>825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825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826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765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22</v>
      </c>
      <c r="BC71" s="171">
        <f t="shared" si="36"/>
        <v>22</v>
      </c>
      <c r="BD71" s="171">
        <f t="shared" si="36"/>
        <v>21</v>
      </c>
      <c r="BE71" s="171">
        <f t="shared" si="36"/>
        <v>21</v>
      </c>
      <c r="BF71" s="171">
        <f t="shared" si="36"/>
        <v>21</v>
      </c>
      <c r="BG71" s="171">
        <f t="shared" si="36"/>
        <v>21</v>
      </c>
      <c r="BH71" s="171">
        <f t="shared" si="36"/>
        <v>21</v>
      </c>
      <c r="BI71" s="171">
        <f t="shared" si="36"/>
        <v>21</v>
      </c>
      <c r="BJ71" s="171">
        <f t="shared" si="36"/>
        <v>21</v>
      </c>
      <c r="BK71" s="171">
        <f t="shared" si="36"/>
        <v>21</v>
      </c>
      <c r="BL71" s="171">
        <f t="shared" si="36"/>
        <v>21</v>
      </c>
      <c r="BM71" s="171">
        <f t="shared" si="36"/>
        <v>21</v>
      </c>
      <c r="BN71" s="171">
        <f t="shared" si="36"/>
        <v>22</v>
      </c>
      <c r="BO71" s="171">
        <f t="shared" si="36"/>
        <v>22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827</v>
      </c>
      <c r="B72" s="5"/>
      <c r="C72" s="5"/>
      <c r="F72" s="80"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5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15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15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15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15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15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15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15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15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15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15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15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15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15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765</v>
      </c>
      <c r="AT72" s="185" t="str">
        <f t="shared" ref="AT72:AT80" si="39">AT61</f>
        <v>Génisses de renouvellement</v>
      </c>
      <c r="AV72" s="171">
        <f t="shared" si="36"/>
        <v>11</v>
      </c>
      <c r="AW72" s="171">
        <f t="shared" si="36"/>
        <v>11</v>
      </c>
      <c r="AX72" s="171">
        <f t="shared" si="36"/>
        <v>11</v>
      </c>
      <c r="AY72" s="171">
        <f t="shared" si="36"/>
        <v>11</v>
      </c>
      <c r="AZ72" s="171">
        <f t="shared" si="36"/>
        <v>11</v>
      </c>
      <c r="BA72" s="171">
        <f t="shared" si="36"/>
        <v>11</v>
      </c>
      <c r="BB72" s="171">
        <f t="shared" si="36"/>
        <v>11</v>
      </c>
      <c r="BC72" s="171">
        <f t="shared" si="36"/>
        <v>11</v>
      </c>
      <c r="BD72" s="171">
        <f t="shared" si="36"/>
        <v>11</v>
      </c>
      <c r="BE72" s="171">
        <f t="shared" si="36"/>
        <v>11</v>
      </c>
      <c r="BF72" s="171">
        <f t="shared" si="36"/>
        <v>11</v>
      </c>
      <c r="BG72" s="171">
        <f t="shared" si="36"/>
        <v>11</v>
      </c>
      <c r="BH72" s="171">
        <f t="shared" si="36"/>
        <v>11</v>
      </c>
      <c r="BI72" s="171">
        <f t="shared" si="36"/>
        <v>11</v>
      </c>
      <c r="BJ72" s="171">
        <f t="shared" si="36"/>
        <v>11</v>
      </c>
      <c r="BK72" s="171">
        <f t="shared" si="36"/>
        <v>11</v>
      </c>
      <c r="BL72" s="171">
        <f t="shared" si="36"/>
        <v>11</v>
      </c>
      <c r="BM72" s="171">
        <f t="shared" si="36"/>
        <v>11</v>
      </c>
      <c r="BN72" s="171">
        <f t="shared" si="36"/>
        <v>11</v>
      </c>
      <c r="BO72" s="171">
        <f t="shared" si="36"/>
        <v>11</v>
      </c>
      <c r="BP72" s="171">
        <f t="shared" si="36"/>
        <v>11</v>
      </c>
      <c r="BQ72" s="171">
        <f t="shared" si="36"/>
        <v>11</v>
      </c>
      <c r="BR72" s="171">
        <f t="shared" si="36"/>
        <v>11</v>
      </c>
      <c r="BS72" s="171">
        <f t="shared" si="36"/>
        <v>11</v>
      </c>
      <c r="BZ72" s="185" t="str">
        <f t="shared" ref="BZ72:BZ80" si="40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1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828</v>
      </c>
      <c r="B73" s="5"/>
      <c r="C73" s="5"/>
      <c r="F73" s="171">
        <f t="shared" ref="F73" si="42">ROUND(SUM(G73:AD73),0)</f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765</v>
      </c>
      <c r="AT73" s="185" t="str">
        <f t="shared" si="39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13</v>
      </c>
      <c r="BI73" s="171">
        <f t="shared" si="36"/>
        <v>13</v>
      </c>
      <c r="BJ73" s="171">
        <f t="shared" si="36"/>
        <v>13</v>
      </c>
      <c r="BK73" s="171">
        <f t="shared" si="36"/>
        <v>13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0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1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829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765</v>
      </c>
      <c r="AT74" s="185" t="str">
        <f t="shared" si="39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11</v>
      </c>
      <c r="BA74" s="171">
        <f t="shared" si="36"/>
        <v>11</v>
      </c>
      <c r="BB74" s="171">
        <f t="shared" si="36"/>
        <v>11</v>
      </c>
      <c r="BC74" s="171">
        <f t="shared" si="36"/>
        <v>11</v>
      </c>
      <c r="BD74" s="171">
        <f t="shared" si="36"/>
        <v>11</v>
      </c>
      <c r="BE74" s="171">
        <f t="shared" si="36"/>
        <v>11</v>
      </c>
      <c r="BF74" s="171">
        <f t="shared" si="36"/>
        <v>11</v>
      </c>
      <c r="BG74" s="171">
        <f t="shared" si="36"/>
        <v>11</v>
      </c>
      <c r="BH74" s="171">
        <f t="shared" si="36"/>
        <v>11</v>
      </c>
      <c r="BI74" s="171">
        <f t="shared" si="36"/>
        <v>11</v>
      </c>
      <c r="BJ74" s="171">
        <f t="shared" si="36"/>
        <v>11</v>
      </c>
      <c r="BK74" s="171">
        <f t="shared" si="36"/>
        <v>11</v>
      </c>
      <c r="BL74" s="171">
        <f t="shared" si="36"/>
        <v>11</v>
      </c>
      <c r="BM74" s="171">
        <f t="shared" si="36"/>
        <v>11</v>
      </c>
      <c r="BN74" s="171">
        <f t="shared" si="36"/>
        <v>11</v>
      </c>
      <c r="BO74" s="171">
        <f t="shared" si="36"/>
        <v>11</v>
      </c>
      <c r="BP74" s="171">
        <f t="shared" si="36"/>
        <v>11</v>
      </c>
      <c r="BQ74" s="171">
        <f t="shared" si="36"/>
        <v>11</v>
      </c>
      <c r="BR74" s="171">
        <f t="shared" si="36"/>
        <v>11</v>
      </c>
      <c r="BS74" s="171">
        <f t="shared" si="36"/>
        <v>0</v>
      </c>
      <c r="BZ74" s="185" t="str">
        <f t="shared" si="40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1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830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39"/>
        <v>broutard</v>
      </c>
      <c r="AV75" s="171">
        <f t="shared" si="36"/>
        <v>23</v>
      </c>
      <c r="AW75" s="171">
        <f t="shared" si="36"/>
        <v>23</v>
      </c>
      <c r="AX75" s="171">
        <f t="shared" si="36"/>
        <v>23</v>
      </c>
      <c r="AY75" s="171">
        <f t="shared" si="36"/>
        <v>23</v>
      </c>
      <c r="AZ75" s="171">
        <f t="shared" si="36"/>
        <v>23</v>
      </c>
      <c r="BA75" s="171">
        <f t="shared" si="36"/>
        <v>23</v>
      </c>
      <c r="BB75" s="171">
        <f t="shared" si="36"/>
        <v>23</v>
      </c>
      <c r="BC75" s="171">
        <f t="shared" si="36"/>
        <v>23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23</v>
      </c>
      <c r="BO75" s="171">
        <f t="shared" si="36"/>
        <v>23</v>
      </c>
      <c r="BP75" s="171">
        <f t="shared" si="36"/>
        <v>23</v>
      </c>
      <c r="BQ75" s="171">
        <f t="shared" si="36"/>
        <v>23</v>
      </c>
      <c r="BR75" s="171">
        <f t="shared" si="36"/>
        <v>23</v>
      </c>
      <c r="BS75" s="171">
        <f t="shared" si="36"/>
        <v>23</v>
      </c>
      <c r="BZ75" s="185" t="str">
        <f t="shared" si="40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1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831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765</v>
      </c>
      <c r="AT76" s="185" t="str">
        <f t="shared" si="39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0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1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5</v>
      </c>
      <c r="H77" s="46">
        <f t="shared" si="43"/>
        <v>5</v>
      </c>
      <c r="I77" s="46">
        <f t="shared" si="43"/>
        <v>5</v>
      </c>
      <c r="J77" s="46">
        <f t="shared" si="43"/>
        <v>5</v>
      </c>
      <c r="K77" s="46">
        <f t="shared" si="43"/>
        <v>10</v>
      </c>
      <c r="L77" s="46">
        <f t="shared" si="43"/>
        <v>10</v>
      </c>
      <c r="M77" s="46">
        <f t="shared" si="43"/>
        <v>15</v>
      </c>
      <c r="N77" s="46">
        <f t="shared" si="43"/>
        <v>15</v>
      </c>
      <c r="O77" s="46">
        <f t="shared" si="43"/>
        <v>15</v>
      </c>
      <c r="P77" s="46">
        <f t="shared" si="43"/>
        <v>15</v>
      </c>
      <c r="Q77" s="46">
        <f t="shared" si="43"/>
        <v>15</v>
      </c>
      <c r="R77" s="46">
        <f t="shared" si="43"/>
        <v>15</v>
      </c>
      <c r="S77" s="46">
        <f t="shared" si="43"/>
        <v>15</v>
      </c>
      <c r="T77" s="46">
        <f t="shared" si="43"/>
        <v>15</v>
      </c>
      <c r="U77" s="46">
        <f t="shared" si="43"/>
        <v>15</v>
      </c>
      <c r="V77" s="46">
        <f t="shared" si="43"/>
        <v>15</v>
      </c>
      <c r="W77" s="46">
        <f t="shared" si="43"/>
        <v>15</v>
      </c>
      <c r="X77" s="46">
        <f t="shared" si="43"/>
        <v>15</v>
      </c>
      <c r="Y77" s="46">
        <f t="shared" si="43"/>
        <v>15</v>
      </c>
      <c r="Z77" s="46">
        <f t="shared" si="43"/>
        <v>15</v>
      </c>
      <c r="AA77" s="46">
        <f t="shared" si="43"/>
        <v>10</v>
      </c>
      <c r="AB77" s="46">
        <f t="shared" si="43"/>
        <v>10</v>
      </c>
      <c r="AC77" s="46">
        <f t="shared" si="43"/>
        <v>10</v>
      </c>
      <c r="AD77" s="46">
        <f t="shared" si="43"/>
        <v>5</v>
      </c>
      <c r="AG77" s="5"/>
      <c r="AH77" s="5"/>
      <c r="AI77" s="5"/>
      <c r="AJ77" s="5"/>
      <c r="AK77" s="5"/>
      <c r="AL77" s="5"/>
      <c r="AM77" s="5"/>
      <c r="AN77" s="5"/>
      <c r="AR77" s="184" t="s">
        <v>765</v>
      </c>
      <c r="AT77" s="185" t="str">
        <f t="shared" si="39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0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1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765</v>
      </c>
      <c r="AT78" s="185" t="str">
        <f t="shared" si="39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0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1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765</v>
      </c>
      <c r="AT79" s="185" t="str">
        <f t="shared" si="39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0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1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833</v>
      </c>
      <c r="B80" s="169" t="s">
        <v>834</v>
      </c>
      <c r="C80" s="169" t="s">
        <v>835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765</v>
      </c>
      <c r="AT80" s="185" t="str">
        <f t="shared" si="39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0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1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836</v>
      </c>
      <c r="B81" s="175">
        <f>ROUND(Protection!AJ8/[1]Protect!$B$11,2)</f>
        <v>0</v>
      </c>
      <c r="C81" s="186">
        <f>[1]Protect!$B$10</f>
        <v>4</v>
      </c>
      <c r="D81" s="170"/>
      <c r="E81" s="170"/>
      <c r="F81" s="171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765</v>
      </c>
      <c r="AT81" s="19" t="s">
        <v>837</v>
      </c>
      <c r="AV81" s="171">
        <f>COUNTIF(AV$71:AV$80,23)</f>
        <v>2</v>
      </c>
      <c r="AW81" s="171">
        <f t="shared" ref="AW81:BS81" si="44">COUNTIF(AW$71:AW$80,23)</f>
        <v>2</v>
      </c>
      <c r="AX81" s="171">
        <f t="shared" si="44"/>
        <v>2</v>
      </c>
      <c r="AY81" s="171">
        <f t="shared" si="44"/>
        <v>2</v>
      </c>
      <c r="AZ81" s="171">
        <f t="shared" si="44"/>
        <v>2</v>
      </c>
      <c r="BA81" s="171">
        <f t="shared" si="44"/>
        <v>2</v>
      </c>
      <c r="BB81" s="171">
        <f t="shared" si="44"/>
        <v>1</v>
      </c>
      <c r="BC81" s="171">
        <f t="shared" si="44"/>
        <v>1</v>
      </c>
      <c r="BD81" s="171">
        <f t="shared" si="44"/>
        <v>0</v>
      </c>
      <c r="BE81" s="171">
        <f t="shared" si="44"/>
        <v>0</v>
      </c>
      <c r="BF81" s="171">
        <f t="shared" si="44"/>
        <v>0</v>
      </c>
      <c r="BG81" s="171">
        <f t="shared" si="44"/>
        <v>0</v>
      </c>
      <c r="BH81" s="171">
        <f t="shared" si="44"/>
        <v>0</v>
      </c>
      <c r="BI81" s="171">
        <f t="shared" si="44"/>
        <v>0</v>
      </c>
      <c r="BJ81" s="171">
        <f t="shared" si="44"/>
        <v>0</v>
      </c>
      <c r="BK81" s="171">
        <f t="shared" si="44"/>
        <v>0</v>
      </c>
      <c r="BL81" s="171">
        <f t="shared" si="44"/>
        <v>0</v>
      </c>
      <c r="BM81" s="171">
        <f t="shared" si="44"/>
        <v>0</v>
      </c>
      <c r="BN81" s="171">
        <f t="shared" si="44"/>
        <v>1</v>
      </c>
      <c r="BO81" s="171">
        <f t="shared" si="44"/>
        <v>1</v>
      </c>
      <c r="BP81" s="171">
        <f t="shared" si="44"/>
        <v>2</v>
      </c>
      <c r="BQ81" s="171">
        <f t="shared" si="44"/>
        <v>2</v>
      </c>
      <c r="BR81" s="171">
        <f t="shared" si="44"/>
        <v>2</v>
      </c>
      <c r="BS81" s="171">
        <f t="shared" si="44"/>
        <v>2</v>
      </c>
      <c r="BZ81" s="19" t="s">
        <v>837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837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838</v>
      </c>
      <c r="C82" t="s">
        <v>839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765</v>
      </c>
      <c r="AT82" s="19" t="s">
        <v>840</v>
      </c>
      <c r="AV82" s="171">
        <f>COUNTIF(AV$71:AV$80,13)</f>
        <v>0</v>
      </c>
      <c r="AW82" s="171">
        <f t="shared" ref="AW82:BS82" si="47">COUNTIF(AW$71:AW$80,13)</f>
        <v>0</v>
      </c>
      <c r="AX82" s="171">
        <f t="shared" si="47"/>
        <v>0</v>
      </c>
      <c r="AY82" s="171">
        <f t="shared" si="47"/>
        <v>1</v>
      </c>
      <c r="AZ82" s="171">
        <f t="shared" si="47"/>
        <v>1</v>
      </c>
      <c r="BA82" s="171">
        <f t="shared" si="47"/>
        <v>1</v>
      </c>
      <c r="BB82" s="171">
        <f t="shared" si="47"/>
        <v>1</v>
      </c>
      <c r="BC82" s="171">
        <f t="shared" si="47"/>
        <v>1</v>
      </c>
      <c r="BD82" s="171">
        <f t="shared" si="47"/>
        <v>1</v>
      </c>
      <c r="BE82" s="171">
        <f t="shared" si="47"/>
        <v>1</v>
      </c>
      <c r="BF82" s="171">
        <f t="shared" si="47"/>
        <v>1</v>
      </c>
      <c r="BG82" s="171">
        <f t="shared" si="47"/>
        <v>1</v>
      </c>
      <c r="BH82" s="171">
        <f t="shared" si="47"/>
        <v>1</v>
      </c>
      <c r="BI82" s="171">
        <f t="shared" si="47"/>
        <v>1</v>
      </c>
      <c r="BJ82" s="171">
        <f t="shared" si="47"/>
        <v>1</v>
      </c>
      <c r="BK82" s="171">
        <f t="shared" si="47"/>
        <v>1</v>
      </c>
      <c r="BL82" s="171">
        <f t="shared" si="47"/>
        <v>1</v>
      </c>
      <c r="BM82" s="171">
        <f t="shared" si="47"/>
        <v>1</v>
      </c>
      <c r="BN82" s="171">
        <f t="shared" si="47"/>
        <v>1</v>
      </c>
      <c r="BO82" s="171">
        <f t="shared" si="47"/>
        <v>1</v>
      </c>
      <c r="BP82" s="171">
        <f t="shared" si="47"/>
        <v>1</v>
      </c>
      <c r="BQ82" s="171">
        <f t="shared" si="47"/>
        <v>1</v>
      </c>
      <c r="BR82" s="171">
        <f t="shared" si="47"/>
        <v>0</v>
      </c>
      <c r="BS82" s="171">
        <f t="shared" si="47"/>
        <v>0</v>
      </c>
      <c r="BZ82" s="19" t="s">
        <v>840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840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841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765</v>
      </c>
      <c r="AT83" s="19" t="s">
        <v>842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1</v>
      </c>
      <c r="BC83" s="171">
        <f t="shared" si="50"/>
        <v>1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1</v>
      </c>
      <c r="BO83" s="171">
        <f t="shared" si="50"/>
        <v>1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842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842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843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765</v>
      </c>
      <c r="AT84" s="19" t="s">
        <v>844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0</v>
      </c>
      <c r="BI84" s="171">
        <f t="shared" si="53"/>
        <v>0</v>
      </c>
      <c r="BJ84" s="171">
        <f t="shared" si="53"/>
        <v>0</v>
      </c>
      <c r="BK84" s="171">
        <f t="shared" si="53"/>
        <v>0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844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844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765</v>
      </c>
      <c r="AT85" s="40" t="s">
        <v>846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13</v>
      </c>
      <c r="BE85" s="62">
        <f t="shared" si="56"/>
        <v>13</v>
      </c>
      <c r="BF85" s="62">
        <f t="shared" si="56"/>
        <v>13</v>
      </c>
      <c r="BG85" s="62">
        <f t="shared" si="56"/>
        <v>13</v>
      </c>
      <c r="BH85" s="62">
        <f t="shared" si="56"/>
        <v>13</v>
      </c>
      <c r="BI85" s="62">
        <f t="shared" si="56"/>
        <v>13</v>
      </c>
      <c r="BJ85" s="62">
        <f t="shared" si="56"/>
        <v>13</v>
      </c>
      <c r="BK85" s="62">
        <f t="shared" si="56"/>
        <v>13</v>
      </c>
      <c r="BL85" s="62">
        <f t="shared" si="56"/>
        <v>13</v>
      </c>
      <c r="BM85" s="62">
        <f t="shared" si="56"/>
        <v>13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847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765</v>
      </c>
      <c r="AT86" s="40" t="s">
        <v>848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42</v>
      </c>
      <c r="BI86" s="186">
        <f>IF(BI85=0,0,HLOOKUP(BI85,[1]Trav!$C$39:$G$59,$AU$105))</f>
        <v>42</v>
      </c>
      <c r="BJ86" s="186">
        <f>IF(BJ85=0,0,HLOOKUP(BJ85,[1]Trav!$C$39:$G$59,$AU$105))</f>
        <v>42</v>
      </c>
      <c r="BK86" s="186">
        <f>IF(BK85=0,0,HLOOKUP(BK85,[1]Trav!$C$39:$G$59,$AU$105))</f>
        <v>42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849</v>
      </c>
      <c r="B87" s="171">
        <f>IF(Scénario!K87=0,0,Scénario!K76)</f>
        <v>0</v>
      </c>
      <c r="C87" s="5"/>
      <c r="F87" s="171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765</v>
      </c>
      <c r="AT87" s="40" t="s">
        <v>850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850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850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851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851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851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852</v>
      </c>
      <c r="B90" s="5" t="s">
        <v>853</v>
      </c>
      <c r="C90" s="5"/>
      <c r="D90" s="5" t="s">
        <v>854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44.08</v>
      </c>
      <c r="AW90" s="171">
        <f t="shared" si="60"/>
        <v>44.08</v>
      </c>
      <c r="AX90" s="171">
        <f t="shared" si="60"/>
        <v>44.08</v>
      </c>
      <c r="AY90" s="171">
        <f t="shared" si="60"/>
        <v>44.08</v>
      </c>
      <c r="AZ90" s="171">
        <f t="shared" si="60"/>
        <v>41.76</v>
      </c>
      <c r="BA90" s="171">
        <f t="shared" si="60"/>
        <v>39.44</v>
      </c>
      <c r="BB90" s="171">
        <f t="shared" si="60"/>
        <v>37.119999999999997</v>
      </c>
      <c r="BC90" s="171">
        <f t="shared" si="60"/>
        <v>34.799999999999997</v>
      </c>
      <c r="BD90" s="171">
        <f t="shared" si="60"/>
        <v>0</v>
      </c>
      <c r="BE90" s="171">
        <f t="shared" si="60"/>
        <v>0</v>
      </c>
      <c r="BF90" s="171">
        <f t="shared" si="60"/>
        <v>0</v>
      </c>
      <c r="BG90" s="171">
        <f t="shared" si="60"/>
        <v>0</v>
      </c>
      <c r="BH90" s="171">
        <f t="shared" si="60"/>
        <v>0</v>
      </c>
      <c r="BI90" s="171">
        <f t="shared" si="60"/>
        <v>0</v>
      </c>
      <c r="BJ90" s="171">
        <f t="shared" si="60"/>
        <v>0</v>
      </c>
      <c r="BK90" s="171">
        <f t="shared" si="60"/>
        <v>0</v>
      </c>
      <c r="BL90" s="171">
        <f t="shared" si="60"/>
        <v>0</v>
      </c>
      <c r="BM90" s="171">
        <f t="shared" si="60"/>
        <v>0</v>
      </c>
      <c r="BN90" s="171">
        <f t="shared" si="60"/>
        <v>34.799999999999997</v>
      </c>
      <c r="BO90" s="171">
        <f t="shared" si="60"/>
        <v>37.119999999999997</v>
      </c>
      <c r="BP90" s="171">
        <f t="shared" si="60"/>
        <v>40.6</v>
      </c>
      <c r="BQ90" s="171">
        <f t="shared" si="60"/>
        <v>42.92</v>
      </c>
      <c r="BR90" s="171">
        <f t="shared" si="60"/>
        <v>44.08</v>
      </c>
      <c r="BS90" s="171">
        <f t="shared" si="60"/>
        <v>44.08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855</v>
      </c>
      <c r="B91" s="197">
        <f>F5+F9</f>
        <v>1520.4847840000004</v>
      </c>
      <c r="C91" s="5"/>
      <c r="D91" s="198">
        <f>B91/Troupeau!$B$17</f>
        <v>26.21525489655173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0</v>
      </c>
      <c r="AW91" s="171">
        <f t="shared" si="60"/>
        <v>0</v>
      </c>
      <c r="AX91" s="171">
        <f t="shared" si="60"/>
        <v>0</v>
      </c>
      <c r="AY91" s="171">
        <f t="shared" si="60"/>
        <v>0</v>
      </c>
      <c r="AZ91" s="171">
        <f t="shared" si="60"/>
        <v>0</v>
      </c>
      <c r="BA91" s="171">
        <f t="shared" si="60"/>
        <v>0</v>
      </c>
      <c r="BB91" s="171">
        <f t="shared" si="60"/>
        <v>0</v>
      </c>
      <c r="BC91" s="171">
        <f t="shared" si="60"/>
        <v>0</v>
      </c>
      <c r="BD91" s="171">
        <f t="shared" si="60"/>
        <v>0</v>
      </c>
      <c r="BE91" s="171">
        <f t="shared" si="60"/>
        <v>0</v>
      </c>
      <c r="BF91" s="171">
        <f t="shared" si="60"/>
        <v>0</v>
      </c>
      <c r="BG91" s="171">
        <f t="shared" si="60"/>
        <v>0</v>
      </c>
      <c r="BH91" s="171">
        <f t="shared" si="60"/>
        <v>0</v>
      </c>
      <c r="BI91" s="171">
        <f t="shared" si="60"/>
        <v>0</v>
      </c>
      <c r="BJ91" s="171">
        <f t="shared" si="60"/>
        <v>0</v>
      </c>
      <c r="BK91" s="171">
        <f t="shared" si="60"/>
        <v>0</v>
      </c>
      <c r="BL91" s="171">
        <f t="shared" si="60"/>
        <v>0</v>
      </c>
      <c r="BM91" s="171">
        <f t="shared" si="60"/>
        <v>0</v>
      </c>
      <c r="BN91" s="171">
        <f t="shared" si="60"/>
        <v>0</v>
      </c>
      <c r="BO91" s="171">
        <f t="shared" si="60"/>
        <v>0</v>
      </c>
      <c r="BP91" s="171">
        <f t="shared" si="60"/>
        <v>0</v>
      </c>
      <c r="BQ91" s="171">
        <f t="shared" si="60"/>
        <v>0</v>
      </c>
      <c r="BR91" s="171">
        <f t="shared" si="60"/>
        <v>0</v>
      </c>
      <c r="BS91" s="171">
        <f t="shared" si="60"/>
        <v>0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856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1.1599999999999999</v>
      </c>
      <c r="AZ92" s="171">
        <f t="shared" si="60"/>
        <v>2.3199999999999998</v>
      </c>
      <c r="BA92" s="171">
        <f t="shared" si="60"/>
        <v>5.8</v>
      </c>
      <c r="BB92" s="171">
        <f t="shared" si="60"/>
        <v>9.2799999999999994</v>
      </c>
      <c r="BC92" s="171">
        <f t="shared" si="60"/>
        <v>12.76</v>
      </c>
      <c r="BD92" s="171">
        <f t="shared" si="60"/>
        <v>12.76</v>
      </c>
      <c r="BE92" s="171">
        <f t="shared" si="60"/>
        <v>12.76</v>
      </c>
      <c r="BF92" s="171">
        <f t="shared" si="60"/>
        <v>13.92</v>
      </c>
      <c r="BG92" s="171">
        <f t="shared" si="60"/>
        <v>13.92</v>
      </c>
      <c r="BH92" s="171">
        <f t="shared" si="60"/>
        <v>13.92</v>
      </c>
      <c r="BI92" s="171">
        <f t="shared" si="60"/>
        <v>13.92</v>
      </c>
      <c r="BJ92" s="171">
        <f t="shared" si="60"/>
        <v>13.92</v>
      </c>
      <c r="BK92" s="171">
        <f t="shared" si="60"/>
        <v>13.92</v>
      </c>
      <c r="BL92" s="171">
        <f t="shared" si="60"/>
        <v>12.76</v>
      </c>
      <c r="BM92" s="171">
        <f t="shared" si="60"/>
        <v>11.6</v>
      </c>
      <c r="BN92" s="171">
        <f t="shared" si="60"/>
        <v>9.2799999999999994</v>
      </c>
      <c r="BO92" s="171">
        <f t="shared" si="60"/>
        <v>6.96</v>
      </c>
      <c r="BP92" s="171">
        <f t="shared" si="60"/>
        <v>3.48</v>
      </c>
      <c r="BQ92" s="171">
        <f t="shared" si="60"/>
        <v>1.1599999999999999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857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0</v>
      </c>
      <c r="BA93" s="171">
        <f t="shared" si="60"/>
        <v>0</v>
      </c>
      <c r="BB93" s="171">
        <f t="shared" si="60"/>
        <v>0</v>
      </c>
      <c r="BC93" s="171">
        <f t="shared" si="60"/>
        <v>0</v>
      </c>
      <c r="BD93" s="171">
        <f t="shared" si="60"/>
        <v>0</v>
      </c>
      <c r="BE93" s="171">
        <f t="shared" si="60"/>
        <v>0</v>
      </c>
      <c r="BF93" s="171">
        <f t="shared" si="60"/>
        <v>0</v>
      </c>
      <c r="BG93" s="171">
        <f t="shared" si="60"/>
        <v>0</v>
      </c>
      <c r="BH93" s="171">
        <f t="shared" si="60"/>
        <v>0</v>
      </c>
      <c r="BI93" s="171">
        <f t="shared" si="60"/>
        <v>0</v>
      </c>
      <c r="BJ93" s="171">
        <f t="shared" si="60"/>
        <v>0</v>
      </c>
      <c r="BK93" s="171">
        <f t="shared" si="60"/>
        <v>0</v>
      </c>
      <c r="BL93" s="171">
        <f t="shared" si="60"/>
        <v>0</v>
      </c>
      <c r="BM93" s="171">
        <f t="shared" si="60"/>
        <v>0</v>
      </c>
      <c r="BN93" s="171">
        <f t="shared" si="60"/>
        <v>0</v>
      </c>
      <c r="BO93" s="171">
        <f t="shared" si="60"/>
        <v>0</v>
      </c>
      <c r="BP93" s="171">
        <f t="shared" si="60"/>
        <v>0</v>
      </c>
      <c r="BQ93" s="171">
        <f t="shared" si="60"/>
        <v>0</v>
      </c>
      <c r="BR93" s="171">
        <f t="shared" si="60"/>
        <v>0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858</v>
      </c>
      <c r="B94" s="199">
        <f>SUM(B91:B93)</f>
        <v>1520.4847840000004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broutard</v>
      </c>
      <c r="AV94" s="171">
        <f>IF(AV41&gt;1,AV8,0)</f>
        <v>44.08</v>
      </c>
      <c r="AW94" s="171">
        <f t="shared" si="60"/>
        <v>44.08</v>
      </c>
      <c r="AX94" s="171">
        <f t="shared" si="60"/>
        <v>44.08</v>
      </c>
      <c r="AY94" s="171">
        <f t="shared" si="60"/>
        <v>44.08</v>
      </c>
      <c r="AZ94" s="171">
        <f t="shared" si="60"/>
        <v>41.76</v>
      </c>
      <c r="BA94" s="171">
        <f t="shared" si="60"/>
        <v>39.44</v>
      </c>
      <c r="BB94" s="171">
        <f t="shared" si="60"/>
        <v>37.119999999999997</v>
      </c>
      <c r="BC94" s="171">
        <f t="shared" si="60"/>
        <v>34.799999999999997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34.799999999999997</v>
      </c>
      <c r="BO94" s="171">
        <f t="shared" si="60"/>
        <v>37.119999999999997</v>
      </c>
      <c r="BP94" s="171">
        <f t="shared" si="60"/>
        <v>40.6</v>
      </c>
      <c r="BQ94" s="171">
        <f t="shared" si="60"/>
        <v>42.92</v>
      </c>
      <c r="BR94" s="171">
        <f t="shared" si="60"/>
        <v>44.08</v>
      </c>
      <c r="BS94" s="171">
        <f t="shared" si="60"/>
        <v>44.08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859</v>
      </c>
      <c r="B95" s="30">
        <f>F16+F20</f>
        <v>0</v>
      </c>
      <c r="C95" s="5"/>
      <c r="D95" s="198">
        <f>B95/Troupeau!$B$17</f>
        <v>0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860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861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862</v>
      </c>
      <c r="B98" s="46">
        <f>SUM(B95:B97)</f>
        <v>0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863</v>
      </c>
      <c r="B99" s="30">
        <f>F31+F35</f>
        <v>312</v>
      </c>
      <c r="C99" s="5"/>
      <c r="D99" s="198">
        <f>B99/Troupeau!$B$17</f>
        <v>5.3793103448275863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88.16</v>
      </c>
      <c r="AW99" s="62">
        <f t="shared" ref="AW99:BS99" si="68">SUM(AW90:AW98)</f>
        <v>88.16</v>
      </c>
      <c r="AX99" s="62">
        <f t="shared" si="68"/>
        <v>88.16</v>
      </c>
      <c r="AY99" s="62">
        <f t="shared" si="68"/>
        <v>89.32</v>
      </c>
      <c r="AZ99" s="62">
        <f t="shared" si="68"/>
        <v>85.84</v>
      </c>
      <c r="BA99" s="62">
        <f t="shared" si="68"/>
        <v>84.679999999999993</v>
      </c>
      <c r="BB99" s="62">
        <f t="shared" si="68"/>
        <v>83.52</v>
      </c>
      <c r="BC99" s="62">
        <f t="shared" si="68"/>
        <v>82.359999999999985</v>
      </c>
      <c r="BD99" s="62">
        <f t="shared" si="68"/>
        <v>12.76</v>
      </c>
      <c r="BE99" s="62">
        <f t="shared" si="68"/>
        <v>12.76</v>
      </c>
      <c r="BF99" s="62">
        <f t="shared" si="68"/>
        <v>13.92</v>
      </c>
      <c r="BG99" s="62">
        <f t="shared" si="68"/>
        <v>13.92</v>
      </c>
      <c r="BH99" s="62">
        <f t="shared" si="68"/>
        <v>13.92</v>
      </c>
      <c r="BI99" s="62">
        <f t="shared" si="68"/>
        <v>13.92</v>
      </c>
      <c r="BJ99" s="62">
        <f t="shared" si="68"/>
        <v>13.92</v>
      </c>
      <c r="BK99" s="62">
        <f t="shared" si="68"/>
        <v>13.92</v>
      </c>
      <c r="BL99" s="62">
        <f t="shared" si="68"/>
        <v>12.76</v>
      </c>
      <c r="BM99" s="62">
        <f t="shared" si="68"/>
        <v>11.6</v>
      </c>
      <c r="BN99" s="62">
        <f t="shared" si="68"/>
        <v>78.88</v>
      </c>
      <c r="BO99" s="62">
        <f t="shared" si="68"/>
        <v>81.199999999999989</v>
      </c>
      <c r="BP99" s="62">
        <f t="shared" si="68"/>
        <v>84.68</v>
      </c>
      <c r="BQ99" s="62">
        <f t="shared" si="68"/>
        <v>87</v>
      </c>
      <c r="BR99" s="62">
        <f t="shared" si="68"/>
        <v>88.16</v>
      </c>
      <c r="BS99" s="62">
        <f t="shared" si="68"/>
        <v>88.16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864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865</v>
      </c>
      <c r="AV100" s="171">
        <f>IF($AT$2="OL",AV99/50,AV99/10)</f>
        <v>8.8159999999999989</v>
      </c>
      <c r="AW100" s="171">
        <f t="shared" ref="AW100:BS100" si="71">IF($AT$2="OL",AW99/50,AW99/10)</f>
        <v>8.8159999999999989</v>
      </c>
      <c r="AX100" s="171">
        <f t="shared" si="71"/>
        <v>8.8159999999999989</v>
      </c>
      <c r="AY100" s="171">
        <f t="shared" si="71"/>
        <v>8.9319999999999986</v>
      </c>
      <c r="AZ100" s="171">
        <f t="shared" si="71"/>
        <v>8.5839999999999996</v>
      </c>
      <c r="BA100" s="171">
        <f t="shared" si="71"/>
        <v>8.468</v>
      </c>
      <c r="BB100" s="171">
        <f t="shared" si="71"/>
        <v>8.3520000000000003</v>
      </c>
      <c r="BC100" s="171">
        <f t="shared" si="71"/>
        <v>8.2359999999999989</v>
      </c>
      <c r="BD100" s="171">
        <f t="shared" si="71"/>
        <v>1.276</v>
      </c>
      <c r="BE100" s="171">
        <f t="shared" si="71"/>
        <v>1.276</v>
      </c>
      <c r="BF100" s="171">
        <f t="shared" si="71"/>
        <v>1.3919999999999999</v>
      </c>
      <c r="BG100" s="171">
        <f t="shared" si="71"/>
        <v>1.3919999999999999</v>
      </c>
      <c r="BH100" s="171">
        <f t="shared" si="71"/>
        <v>1.3919999999999999</v>
      </c>
      <c r="BI100" s="171">
        <f t="shared" si="71"/>
        <v>1.3919999999999999</v>
      </c>
      <c r="BJ100" s="171">
        <f t="shared" si="71"/>
        <v>1.3919999999999999</v>
      </c>
      <c r="BK100" s="171">
        <f t="shared" si="71"/>
        <v>1.3919999999999999</v>
      </c>
      <c r="BL100" s="171">
        <f t="shared" si="71"/>
        <v>1.276</v>
      </c>
      <c r="BM100" s="171">
        <f t="shared" si="71"/>
        <v>1.1599999999999999</v>
      </c>
      <c r="BN100" s="171">
        <f t="shared" si="71"/>
        <v>7.8879999999999999</v>
      </c>
      <c r="BO100" s="171">
        <f t="shared" si="71"/>
        <v>8.1199999999999992</v>
      </c>
      <c r="BP100" s="171">
        <f t="shared" si="71"/>
        <v>8.468</v>
      </c>
      <c r="BQ100" s="171">
        <f t="shared" si="71"/>
        <v>8.6999999999999993</v>
      </c>
      <c r="BR100" s="171">
        <f t="shared" si="71"/>
        <v>8.8159999999999989</v>
      </c>
      <c r="BS100" s="171">
        <f t="shared" si="71"/>
        <v>8.8159999999999989</v>
      </c>
      <c r="BZ100" s="32" t="s">
        <v>865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865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866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867</v>
      </c>
      <c r="AV101" s="171">
        <f>IF(AV100&gt;1,AV100-1,0)</f>
        <v>7.8159999999999989</v>
      </c>
      <c r="AW101" s="171">
        <f t="shared" ref="AW101:BS101" si="74">IF(AW100&gt;1,AW100-1,0)</f>
        <v>7.8159999999999989</v>
      </c>
      <c r="AX101" s="171">
        <f t="shared" si="74"/>
        <v>7.8159999999999989</v>
      </c>
      <c r="AY101" s="171">
        <f t="shared" si="74"/>
        <v>7.9319999999999986</v>
      </c>
      <c r="AZ101" s="171">
        <f t="shared" si="74"/>
        <v>7.5839999999999996</v>
      </c>
      <c r="BA101" s="171">
        <f t="shared" si="74"/>
        <v>7.468</v>
      </c>
      <c r="BB101" s="171">
        <f t="shared" si="74"/>
        <v>7.3520000000000003</v>
      </c>
      <c r="BC101" s="171">
        <f t="shared" si="74"/>
        <v>7.2359999999999989</v>
      </c>
      <c r="BD101" s="171">
        <f t="shared" si="74"/>
        <v>0.27600000000000002</v>
      </c>
      <c r="BE101" s="171">
        <f t="shared" si="74"/>
        <v>0.27600000000000002</v>
      </c>
      <c r="BF101" s="171">
        <f t="shared" si="74"/>
        <v>0.3919999999999999</v>
      </c>
      <c r="BG101" s="171">
        <f t="shared" si="74"/>
        <v>0.3919999999999999</v>
      </c>
      <c r="BH101" s="171">
        <f t="shared" si="74"/>
        <v>0.3919999999999999</v>
      </c>
      <c r="BI101" s="171">
        <f t="shared" si="74"/>
        <v>0.3919999999999999</v>
      </c>
      <c r="BJ101" s="171">
        <f t="shared" si="74"/>
        <v>0.3919999999999999</v>
      </c>
      <c r="BK101" s="171">
        <f t="shared" si="74"/>
        <v>0.3919999999999999</v>
      </c>
      <c r="BL101" s="171">
        <f t="shared" si="74"/>
        <v>0.27600000000000002</v>
      </c>
      <c r="BM101" s="171">
        <f t="shared" si="74"/>
        <v>0.15999999999999992</v>
      </c>
      <c r="BN101" s="171">
        <f t="shared" si="74"/>
        <v>6.8879999999999999</v>
      </c>
      <c r="BO101" s="171">
        <f t="shared" si="74"/>
        <v>7.1199999999999992</v>
      </c>
      <c r="BP101" s="171">
        <f t="shared" si="74"/>
        <v>7.468</v>
      </c>
      <c r="BQ101" s="171">
        <f t="shared" si="74"/>
        <v>7.6999999999999993</v>
      </c>
      <c r="BR101" s="171">
        <f t="shared" si="74"/>
        <v>7.8159999999999989</v>
      </c>
      <c r="BS101" s="171">
        <f t="shared" si="74"/>
        <v>7.8159999999999989</v>
      </c>
      <c r="BZ101" s="32" t="s">
        <v>867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867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868</v>
      </c>
      <c r="B102" s="46">
        <f>SUM(B99:B101)</f>
        <v>312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869</v>
      </c>
      <c r="AV102" s="62">
        <f>AV86+AV87*AV101</f>
        <v>60.273808000000002</v>
      </c>
      <c r="AW102" s="62">
        <f t="shared" ref="AW102:BS102" si="77">AW86+AW87*AW101</f>
        <v>60.273808000000002</v>
      </c>
      <c r="AX102" s="62">
        <f t="shared" si="77"/>
        <v>60.273808000000002</v>
      </c>
      <c r="AY102" s="62">
        <f t="shared" si="77"/>
        <v>60.545015999999997</v>
      </c>
      <c r="AZ102" s="62">
        <f t="shared" si="77"/>
        <v>59.731392</v>
      </c>
      <c r="BA102" s="62">
        <f t="shared" si="77"/>
        <v>59.460183999999998</v>
      </c>
      <c r="BB102" s="62">
        <f t="shared" si="77"/>
        <v>59.188975999999997</v>
      </c>
      <c r="BC102" s="62">
        <f t="shared" si="77"/>
        <v>58.917767999999995</v>
      </c>
      <c r="BD102" s="62">
        <f t="shared" si="77"/>
        <v>42.645288000000001</v>
      </c>
      <c r="BE102" s="62">
        <f t="shared" si="77"/>
        <v>42.645288000000001</v>
      </c>
      <c r="BF102" s="62">
        <f t="shared" si="77"/>
        <v>42.916496000000002</v>
      </c>
      <c r="BG102" s="62">
        <f t="shared" si="77"/>
        <v>42.916496000000002</v>
      </c>
      <c r="BH102" s="62">
        <f t="shared" si="77"/>
        <v>42.916496000000002</v>
      </c>
      <c r="BI102" s="62">
        <f t="shared" si="77"/>
        <v>42.916496000000002</v>
      </c>
      <c r="BJ102" s="62">
        <f t="shared" si="77"/>
        <v>42.916496000000002</v>
      </c>
      <c r="BK102" s="62">
        <f t="shared" si="77"/>
        <v>42.916496000000002</v>
      </c>
      <c r="BL102" s="62">
        <f t="shared" si="77"/>
        <v>42.645288000000001</v>
      </c>
      <c r="BM102" s="62">
        <f t="shared" si="77"/>
        <v>42.374079999999999</v>
      </c>
      <c r="BN102" s="62">
        <f t="shared" si="77"/>
        <v>58.104144000000005</v>
      </c>
      <c r="BO102" s="62">
        <f t="shared" si="77"/>
        <v>58.646559999999994</v>
      </c>
      <c r="BP102" s="62">
        <f t="shared" si="77"/>
        <v>59.460183999999998</v>
      </c>
      <c r="BQ102" s="62">
        <f t="shared" si="77"/>
        <v>60.002600000000001</v>
      </c>
      <c r="BR102" s="62">
        <f t="shared" si="77"/>
        <v>60.273808000000002</v>
      </c>
      <c r="BS102" s="62">
        <f t="shared" si="77"/>
        <v>60.273808000000002</v>
      </c>
      <c r="BZ102" s="40" t="s">
        <v>869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870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871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872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873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874</v>
      </c>
      <c r="AU105" s="17">
        <f>VLOOKUP(AU59,[1]Trav!$B$12:$C$31,2)</f>
        <v>15</v>
      </c>
      <c r="BZ105" s="147" t="s">
        <v>874</v>
      </c>
      <c r="CA105" s="17">
        <f>VLOOKUP(CA59,[1]Trav!$B$12:$C$31,2)</f>
        <v>13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874</v>
      </c>
      <c r="DD105" s="17">
        <f>VLOOKUP(DD59,[1]Trav!$B$12:$C$31,2)</f>
        <v>13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875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10.5</v>
      </c>
      <c r="BC106" s="186">
        <f>IF(BC60&gt;0,HLOOKUP(BC60,[1]Trav!$C$11:$O$31,$AU$105),0)</f>
        <v>10.5</v>
      </c>
      <c r="BD106" s="186">
        <f>IF(BD60&gt;0,HLOOKUP(BD60,[1]Trav!$C$11:$O$31,$AU$105),0)</f>
        <v>3.5</v>
      </c>
      <c r="BE106" s="186">
        <f>IF(BE60&gt;0,HLOOKUP(BE60,[1]Trav!$C$11:$O$31,$AU$105),0)</f>
        <v>3.5</v>
      </c>
      <c r="BF106" s="186">
        <f>IF(BF60&gt;0,HLOOKUP(BF60,[1]Trav!$C$11:$O$31,$AU$105),0)</f>
        <v>3.5</v>
      </c>
      <c r="BG106" s="186">
        <f>IF(BG60&gt;0,HLOOKUP(BG60,[1]Trav!$C$11:$O$31,$AU$105),0)</f>
        <v>3.5</v>
      </c>
      <c r="BH106" s="186">
        <f>IF(BH60&gt;0,HLOOKUP(BH60,[1]Trav!$C$11:$O$31,$AU$105),0)</f>
        <v>3.5</v>
      </c>
      <c r="BI106" s="186">
        <f>IF(BI60&gt;0,HLOOKUP(BI60,[1]Trav!$C$11:$O$31,$AU$105),0)</f>
        <v>3.5</v>
      </c>
      <c r="BJ106" s="186">
        <f>IF(BJ60&gt;0,HLOOKUP(BJ60,[1]Trav!$C$11:$O$31,$AU$105),0)</f>
        <v>3.5</v>
      </c>
      <c r="BK106" s="186">
        <f>IF(BK60&gt;0,HLOOKUP(BK60,[1]Trav!$C$11:$O$31,$AU$105),0)</f>
        <v>3.5</v>
      </c>
      <c r="BL106" s="186">
        <f>IF(BL60&gt;0,HLOOKUP(BL60,[1]Trav!$C$11:$O$31,$AU$105),0)</f>
        <v>3.5</v>
      </c>
      <c r="BM106" s="186">
        <f>IF(BM60&gt;0,HLOOKUP(BM60,[1]Trav!$C$11:$O$31,$AU$105),0)</f>
        <v>3.5</v>
      </c>
      <c r="BN106" s="186">
        <f>IF(BN60&gt;0,HLOOKUP(BN60,[1]Trav!$C$11:$O$31,$AU$105),0)</f>
        <v>10.5</v>
      </c>
      <c r="BO106" s="186">
        <f>IF(BO60&gt;0,HLOOKUP(BO60,[1]Trav!$C$11:$O$31,$AU$105),0)</f>
        <v>10.5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876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3.5</v>
      </c>
      <c r="AW107" s="186">
        <f>IF(AW61&gt;0,HLOOKUP(AW61,[1]Trav!$C$11:$O$31,$AU$105),0)</f>
        <v>3.5</v>
      </c>
      <c r="AX107" s="186">
        <f>IF(AX61&gt;0,HLOOKUP(AX61,[1]Trav!$C$11:$O$31,$AU$105),0)</f>
        <v>3.5</v>
      </c>
      <c r="AY107" s="186">
        <f>IF(AY61&gt;0,HLOOKUP(AY61,[1]Trav!$C$11:$O$31,$AU$105),0)</f>
        <v>3.5</v>
      </c>
      <c r="AZ107" s="186">
        <f>IF(AZ61&gt;0,HLOOKUP(AZ61,[1]Trav!$C$11:$O$31,$AU$105),0)</f>
        <v>5.25</v>
      </c>
      <c r="BA107" s="186">
        <f>IF(BA61&gt;0,HLOOKUP(BA61,[1]Trav!$C$11:$O$31,$AU$105),0)</f>
        <v>5.25</v>
      </c>
      <c r="BB107" s="186">
        <f>IF(BB61&gt;0,HLOOKUP(BB61,[1]Trav!$C$11:$O$31,$AU$105),0)</f>
        <v>5.25</v>
      </c>
      <c r="BC107" s="186">
        <f>IF(BC61&gt;0,HLOOKUP(BC61,[1]Trav!$C$11:$O$31,$AU$105),0)</f>
        <v>5.25</v>
      </c>
      <c r="BD107" s="186">
        <f>IF(BD61&gt;0,HLOOKUP(BD61,[1]Trav!$C$11:$O$31,$AU$105),0)</f>
        <v>5.25</v>
      </c>
      <c r="BE107" s="186">
        <f>IF(BE61&gt;0,HLOOKUP(BE61,[1]Trav!$C$11:$O$31,$AU$105),0)</f>
        <v>5.25</v>
      </c>
      <c r="BF107" s="186">
        <f>IF(BF61&gt;0,HLOOKUP(BF61,[1]Trav!$C$11:$O$31,$AU$105),0)</f>
        <v>5.25</v>
      </c>
      <c r="BG107" s="186">
        <f>IF(BG61&gt;0,HLOOKUP(BG61,[1]Trav!$C$11:$O$31,$AU$105),0)</f>
        <v>5.25</v>
      </c>
      <c r="BH107" s="186">
        <f>IF(BH61&gt;0,HLOOKUP(BH61,[1]Trav!$C$11:$O$31,$AU$105),0)</f>
        <v>5.25</v>
      </c>
      <c r="BI107" s="186">
        <f>IF(BI61&gt;0,HLOOKUP(BI61,[1]Trav!$C$11:$O$31,$AU$105),0)</f>
        <v>5.25</v>
      </c>
      <c r="BJ107" s="186">
        <f>IF(BJ61&gt;0,HLOOKUP(BJ61,[1]Trav!$C$11:$O$31,$AU$105),0)</f>
        <v>5.25</v>
      </c>
      <c r="BK107" s="186">
        <f>IF(BK61&gt;0,HLOOKUP(BK61,[1]Trav!$C$11:$O$31,$AU$105),0)</f>
        <v>5.25</v>
      </c>
      <c r="BL107" s="186">
        <f>IF(BL61&gt;0,HLOOKUP(BL61,[1]Trav!$C$11:$O$31,$AU$105),0)</f>
        <v>5.25</v>
      </c>
      <c r="BM107" s="186">
        <f>IF(BM61&gt;0,HLOOKUP(BM61,[1]Trav!$C$11:$O$31,$AU$105),0)</f>
        <v>5.25</v>
      </c>
      <c r="BN107" s="186">
        <f>IF(BN61&gt;0,HLOOKUP(BN61,[1]Trav!$C$11:$O$31,$AU$105),0)</f>
        <v>5.25</v>
      </c>
      <c r="BO107" s="186">
        <f>IF(BO61&gt;0,HLOOKUP(BO61,[1]Trav!$C$11:$O$31,$AU$105),0)</f>
        <v>5.25</v>
      </c>
      <c r="BP107" s="186">
        <f>IF(BP61&gt;0,HLOOKUP(BP61,[1]Trav!$C$11:$O$31,$AU$105),0)</f>
        <v>5.25</v>
      </c>
      <c r="BQ107" s="186">
        <f>IF(BQ61&gt;0,HLOOKUP(BQ61,[1]Trav!$C$11:$O$31,$AU$105),0)</f>
        <v>3.5</v>
      </c>
      <c r="BR107" s="186">
        <f>IF(BR61&gt;0,HLOOKUP(BR61,[1]Trav!$C$11:$O$31,$AU$105),0)</f>
        <v>3.5</v>
      </c>
      <c r="BS107" s="186">
        <f>IF(BS61&gt;0,HLOOKUP(BS61,[1]Trav!$C$11:$O$31,$AU$105),0)</f>
        <v>3.5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877</v>
      </c>
      <c r="B108" s="46">
        <f>SUM(F50:F59)</f>
        <v>208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878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3.5</v>
      </c>
      <c r="BA109" s="186">
        <f>IF(BA63&gt;0,HLOOKUP(BA63,[1]Trav!$C$11:$O$31,$AU$105),0)</f>
        <v>3.5</v>
      </c>
      <c r="BB109" s="186">
        <f>IF(BB63&gt;0,HLOOKUP(BB63,[1]Trav!$C$11:$O$31,$AU$105),0)</f>
        <v>3.5</v>
      </c>
      <c r="BC109" s="186">
        <f>IF(BC63&gt;0,HLOOKUP(BC63,[1]Trav!$C$11:$O$31,$AU$105),0)</f>
        <v>3.5</v>
      </c>
      <c r="BD109" s="186">
        <f>IF(BD63&gt;0,HLOOKUP(BD63,[1]Trav!$C$11:$O$31,$AU$105),0)</f>
        <v>3.5</v>
      </c>
      <c r="BE109" s="186">
        <f>IF(BE63&gt;0,HLOOKUP(BE63,[1]Trav!$C$11:$O$31,$AU$105),0)</f>
        <v>3.5</v>
      </c>
      <c r="BF109" s="186">
        <f>IF(BF63&gt;0,HLOOKUP(BF63,[1]Trav!$C$11:$O$31,$AU$105),0)</f>
        <v>3.5</v>
      </c>
      <c r="BG109" s="186">
        <f>IF(BG63&gt;0,HLOOKUP(BG63,[1]Trav!$C$11:$O$31,$AU$105),0)</f>
        <v>3.5</v>
      </c>
      <c r="BH109" s="186">
        <f>IF(BH63&gt;0,HLOOKUP(BH63,[1]Trav!$C$11:$O$31,$AU$105),0)</f>
        <v>3.5</v>
      </c>
      <c r="BI109" s="186">
        <f>IF(BI63&gt;0,HLOOKUP(BI63,[1]Trav!$C$11:$O$31,$AU$105),0)</f>
        <v>3.5</v>
      </c>
      <c r="BJ109" s="186">
        <f>IF(BJ63&gt;0,HLOOKUP(BJ63,[1]Trav!$C$11:$O$31,$AU$105),0)</f>
        <v>3.5</v>
      </c>
      <c r="BK109" s="186">
        <f>IF(BK63&gt;0,HLOOKUP(BK63,[1]Trav!$C$11:$O$31,$AU$105),0)</f>
        <v>3.5</v>
      </c>
      <c r="BL109" s="186">
        <f>IF(BL63&gt;0,HLOOKUP(BL63,[1]Trav!$C$11:$O$31,$AU$105),0)</f>
        <v>3.5</v>
      </c>
      <c r="BM109" s="186">
        <f>IF(BM63&gt;0,HLOOKUP(BM63,[1]Trav!$C$11:$O$31,$AU$105),0)</f>
        <v>3.5</v>
      </c>
      <c r="BN109" s="186">
        <f>IF(BN63&gt;0,HLOOKUP(BN63,[1]Trav!$C$11:$O$31,$AU$105),0)</f>
        <v>3.5</v>
      </c>
      <c r="BO109" s="186">
        <f>IF(BO63&gt;0,HLOOKUP(BO63,[1]Trav!$C$11:$O$31,$AU$105),0)</f>
        <v>3.5</v>
      </c>
      <c r="BP109" s="186">
        <f>IF(BP63&gt;0,HLOOKUP(BP63,[1]Trav!$C$11:$O$31,$AU$105),0)</f>
        <v>3.5</v>
      </c>
      <c r="BQ109" s="186">
        <f>IF(BQ63&gt;0,HLOOKUP(BQ63,[1]Trav!$C$11:$O$31,$AU$105),0)</f>
        <v>3.5</v>
      </c>
      <c r="BR109" s="186">
        <f>IF(BR63&gt;0,HLOOKUP(BR63,[1]Trav!$C$11:$O$31,$AU$105),0)</f>
        <v>3.5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879</v>
      </c>
      <c r="B110" s="30">
        <f>F70+F73</f>
        <v>0</v>
      </c>
      <c r="D110" s="193"/>
      <c r="AT110" s="185" t="str">
        <f t="shared" si="80"/>
        <v>broutard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880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881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882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883</v>
      </c>
      <c r="B114" s="30">
        <f>F81</f>
        <v>0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884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885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886</v>
      </c>
      <c r="AV117" s="171">
        <f>SUM(AV106:AV115)</f>
        <v>3.5</v>
      </c>
      <c r="AW117" s="171">
        <f t="shared" ref="AW117:BS117" si="83">SUM(AW106:AW115)</f>
        <v>3.5</v>
      </c>
      <c r="AX117" s="171">
        <f t="shared" si="83"/>
        <v>3.5</v>
      </c>
      <c r="AY117" s="171">
        <f t="shared" si="83"/>
        <v>3.5</v>
      </c>
      <c r="AZ117" s="171">
        <f t="shared" si="83"/>
        <v>8.75</v>
      </c>
      <c r="BA117" s="171">
        <f t="shared" si="83"/>
        <v>8.75</v>
      </c>
      <c r="BB117" s="171">
        <f t="shared" si="83"/>
        <v>19.25</v>
      </c>
      <c r="BC117" s="171">
        <f t="shared" si="83"/>
        <v>19.25</v>
      </c>
      <c r="BD117" s="171">
        <f t="shared" si="83"/>
        <v>12.25</v>
      </c>
      <c r="BE117" s="171">
        <f t="shared" si="83"/>
        <v>12.25</v>
      </c>
      <c r="BF117" s="171">
        <f t="shared" si="83"/>
        <v>12.25</v>
      </c>
      <c r="BG117" s="171">
        <f t="shared" si="83"/>
        <v>12.25</v>
      </c>
      <c r="BH117" s="171">
        <f t="shared" si="83"/>
        <v>12.25</v>
      </c>
      <c r="BI117" s="171">
        <f t="shared" si="83"/>
        <v>12.25</v>
      </c>
      <c r="BJ117" s="171">
        <f t="shared" si="83"/>
        <v>12.25</v>
      </c>
      <c r="BK117" s="171">
        <f t="shared" si="83"/>
        <v>12.25</v>
      </c>
      <c r="BL117" s="171">
        <f t="shared" si="83"/>
        <v>12.25</v>
      </c>
      <c r="BM117" s="171">
        <f t="shared" si="83"/>
        <v>12.25</v>
      </c>
      <c r="BN117" s="171">
        <f t="shared" si="83"/>
        <v>19.25</v>
      </c>
      <c r="BO117" s="171">
        <f t="shared" si="83"/>
        <v>19.25</v>
      </c>
      <c r="BP117" s="171">
        <f t="shared" si="83"/>
        <v>8.75</v>
      </c>
      <c r="BQ117" s="171">
        <f t="shared" si="83"/>
        <v>7</v>
      </c>
      <c r="BR117" s="171">
        <f t="shared" si="83"/>
        <v>7</v>
      </c>
      <c r="BS117" s="171">
        <f t="shared" si="83"/>
        <v>3.5</v>
      </c>
      <c r="CA117" s="40" t="s">
        <v>886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886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887</v>
      </c>
      <c r="B118" s="197">
        <f>B91+B95+B99+B103</f>
        <v>1832.4847840000004</v>
      </c>
      <c r="D118" s="198">
        <f>B118/Troupeau!$B$17</f>
        <v>31.594565241379318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888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889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890</v>
      </c>
      <c r="B122" s="197">
        <f>SUM(B118:B120)</f>
        <v>1832.4847840000004</v>
      </c>
    </row>
    <row r="123" spans="1:132" x14ac:dyDescent="0.25">
      <c r="A123" s="2" t="s">
        <v>877</v>
      </c>
      <c r="B123" s="30">
        <f>B108</f>
        <v>208</v>
      </c>
    </row>
    <row r="124" spans="1:132" x14ac:dyDescent="0.25">
      <c r="A124" s="2" t="s">
        <v>891</v>
      </c>
      <c r="B124" s="30">
        <f>B107</f>
        <v>400</v>
      </c>
    </row>
    <row r="125" spans="1:132" x14ac:dyDescent="0.25">
      <c r="A125" s="2" t="s">
        <v>892</v>
      </c>
      <c r="B125" s="30">
        <f>B112+B113</f>
        <v>0</v>
      </c>
    </row>
    <row r="126" spans="1:132" x14ac:dyDescent="0.25">
      <c r="A126" s="2" t="s">
        <v>893</v>
      </c>
      <c r="B126" s="30">
        <f>B114+B115+B116</f>
        <v>0</v>
      </c>
    </row>
    <row r="128" spans="1:132" x14ac:dyDescent="0.25">
      <c r="A128" s="2" t="s">
        <v>894</v>
      </c>
      <c r="B128" s="197">
        <f>SUM(B122:B126)</f>
        <v>2440.4847840000002</v>
      </c>
    </row>
    <row r="129" spans="1:2" x14ac:dyDescent="0.25">
      <c r="A129" s="2" t="s">
        <v>895</v>
      </c>
      <c r="B129" s="30">
        <f>IF(Scénario!K129=1,Travail!F77+Travail!F86,F86)</f>
        <v>0</v>
      </c>
    </row>
    <row r="130" spans="1:2" x14ac:dyDescent="0.25">
      <c r="A130" s="2" t="s">
        <v>896</v>
      </c>
      <c r="B130" s="197">
        <f>ROUND((B128-B129)/(Scénario!K4+Scénario!K6),0)</f>
        <v>2440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5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898</v>
      </c>
      <c r="R2" s="23" t="s">
        <v>899</v>
      </c>
      <c r="S2" s="23"/>
      <c r="T2" t="s">
        <v>900</v>
      </c>
    </row>
    <row r="3" spans="1:59" ht="18.75" x14ac:dyDescent="0.3">
      <c r="A3" s="203"/>
      <c r="B3" s="33" t="s">
        <v>901</v>
      </c>
      <c r="C3" s="33" t="s">
        <v>902</v>
      </c>
      <c r="D3" s="33" t="s">
        <v>903</v>
      </c>
      <c r="E3" s="169"/>
      <c r="F3" s="33" t="s">
        <v>904</v>
      </c>
      <c r="G3" s="33" t="s">
        <v>905</v>
      </c>
      <c r="H3" s="33" t="s">
        <v>906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907</v>
      </c>
      <c r="U4" s="14"/>
      <c r="V4" s="14"/>
      <c r="W4" s="14"/>
      <c r="AB4" s="2" t="s">
        <v>908</v>
      </c>
    </row>
    <row r="5" spans="1:59" x14ac:dyDescent="0.25">
      <c r="A5" t="s">
        <v>909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910</v>
      </c>
      <c r="T5" s="30">
        <f>Scénario!K16</f>
        <v>0</v>
      </c>
      <c r="U5" s="14"/>
      <c r="V5" s="14"/>
      <c r="X5" s="14" t="s">
        <v>911</v>
      </c>
      <c r="Y5" s="30">
        <f>IF(Scénario!K17=1,[1]Eco!$B$51,[1]Eco!$B$52)</f>
        <v>1030</v>
      </c>
      <c r="AB5" t="s">
        <v>912</v>
      </c>
      <c r="AC5" t="s">
        <v>17</v>
      </c>
      <c r="AD5" t="s">
        <v>277</v>
      </c>
      <c r="AF5" s="169" t="s">
        <v>913</v>
      </c>
      <c r="AG5" s="169" t="s">
        <v>914</v>
      </c>
      <c r="AH5" s="169" t="s">
        <v>915</v>
      </c>
      <c r="AI5" s="169" t="s">
        <v>916</v>
      </c>
      <c r="AJ5" s="169" t="s">
        <v>917</v>
      </c>
    </row>
    <row r="6" spans="1:59" x14ac:dyDescent="0.25">
      <c r="A6" t="s">
        <v>918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919</v>
      </c>
      <c r="T6" s="30">
        <f>Troupeau!B35</f>
        <v>0</v>
      </c>
      <c r="U6" s="14"/>
      <c r="V6" s="14"/>
      <c r="X6" s="14" t="s">
        <v>920</v>
      </c>
      <c r="Y6" s="30">
        <f>IF(Scénario!K17=1,[1]Eco!$B$55,[1]Eco!$B$56)</f>
        <v>0</v>
      </c>
      <c r="AA6">
        <v>1</v>
      </c>
      <c r="AB6" s="30">
        <f>'Alim -Surf'!D34</f>
        <v>8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17</v>
      </c>
      <c r="AC7" s="30" t="str">
        <f>LEFT('Alim -Surf'!B35,10)</f>
        <v>orge hiver</v>
      </c>
      <c r="AD7" s="30">
        <f>+'Alim -Surf'!K35</f>
        <v>5.0999999999999996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5.0999999999999996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7</v>
      </c>
      <c r="AC8" s="30" t="str">
        <f>LEFT('Alim -Surf'!B36,10)</f>
        <v>maïs grain</v>
      </c>
      <c r="AD8" s="30">
        <f>+'Alim -Surf'!K36</f>
        <v>9</v>
      </c>
      <c r="AE8" s="30"/>
      <c r="AF8" s="171">
        <f t="shared" si="4"/>
        <v>9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921</v>
      </c>
      <c r="B9" s="171">
        <f>Troupeau!B43</f>
        <v>24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912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21888</v>
      </c>
      <c r="K9" s="171">
        <f>ROUND(B9*F9,0)</f>
        <v>21888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922</v>
      </c>
      <c r="T9" s="36" t="s">
        <v>907</v>
      </c>
      <c r="U9" s="169" t="s">
        <v>923</v>
      </c>
      <c r="V9" s="36" t="s">
        <v>924</v>
      </c>
      <c r="W9" s="169" t="s">
        <v>925</v>
      </c>
      <c r="AA9">
        <v>4</v>
      </c>
      <c r="AB9" s="30">
        <f>'Alim -Surf'!D37</f>
        <v>28</v>
      </c>
      <c r="AC9" s="30" t="str">
        <f>LEFT('Alim -Surf'!B37,10)</f>
        <v>landes lit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926</v>
      </c>
      <c r="B10" s="171">
        <f>Troupeau!B39</f>
        <v>16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787.19999999999993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12595</v>
      </c>
      <c r="K10" s="171">
        <f t="shared" ref="K10:K16" si="7">ROUND(B10*F10,0)</f>
        <v>12595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927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928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929</v>
      </c>
      <c r="T11" s="171">
        <f>Troupeau!B37</f>
        <v>8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930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931</v>
      </c>
      <c r="T12" s="171">
        <f>ROUNDDOWN(T11*T10/100,0)</f>
        <v>1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932</v>
      </c>
      <c r="B13" s="171">
        <f>T11-B14</f>
        <v>7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1251.2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8758</v>
      </c>
      <c r="K13" s="171">
        <f t="shared" si="7"/>
        <v>8758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933</v>
      </c>
      <c r="B14" s="171">
        <f>ROUNDDOWN(T11*T10/100,0)</f>
        <v>1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2152</v>
      </c>
      <c r="K14" s="171">
        <f t="shared" si="7"/>
        <v>2152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934</v>
      </c>
      <c r="B15" s="171">
        <f>Troupeau!B38</f>
        <v>0.66666666666666652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1644.0000000000002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1096</v>
      </c>
      <c r="K15" s="171">
        <f t="shared" si="7"/>
        <v>1096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935</v>
      </c>
      <c r="S15" s="32" t="s">
        <v>936</v>
      </c>
      <c r="T15" s="5" t="s">
        <v>937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938</v>
      </c>
      <c r="B16" s="171">
        <f>+B15</f>
        <v>0.66666666666666652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-1685</v>
      </c>
      <c r="K16" s="171">
        <f t="shared" si="7"/>
        <v>-1685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913</v>
      </c>
      <c r="R16" s="30">
        <f>'Alim -Surf'!K13</f>
        <v>4.4000000000000004</v>
      </c>
      <c r="S16" s="5">
        <f>IF(R16&gt;0,R16,0)</f>
        <v>4.4000000000000004</v>
      </c>
      <c r="T16" s="5">
        <f>IF(R16&lt;0,-R16,0)</f>
        <v>0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5.0999999999999996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939</v>
      </c>
      <c r="R17" s="30">
        <f>'Alim -Surf'!K14</f>
        <v>0.89999999999999947</v>
      </c>
      <c r="S17" s="5">
        <f>IF(R17&gt;0,R17,0)</f>
        <v>0.89999999999999947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935</v>
      </c>
      <c r="AE17" s="171" t="s">
        <v>940</v>
      </c>
      <c r="AF17" s="171" t="s">
        <v>941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942</v>
      </c>
      <c r="B18" s="169"/>
      <c r="C18" s="36" t="s">
        <v>943</v>
      </c>
      <c r="D18" s="33" t="s">
        <v>944</v>
      </c>
      <c r="E18" s="170"/>
      <c r="F18" s="36" t="s">
        <v>945</v>
      </c>
      <c r="G18" s="36" t="s">
        <v>946</v>
      </c>
      <c r="H18" s="170"/>
      <c r="I18" s="170"/>
      <c r="J18" s="5"/>
      <c r="K18" s="5"/>
      <c r="L18" s="5"/>
      <c r="M18" s="5"/>
      <c r="N18" s="5"/>
      <c r="P18" s="5"/>
      <c r="Q18" s="5" t="s">
        <v>947</v>
      </c>
      <c r="R18" s="30">
        <f>'Alim -Surf'!K15</f>
        <v>-3.5</v>
      </c>
      <c r="S18" s="5">
        <f>IF(R18&gt;0,R18,0)</f>
        <v>0</v>
      </c>
      <c r="T18" s="5">
        <f t="shared" si="12"/>
        <v>3.5</v>
      </c>
      <c r="U18" s="5"/>
      <c r="V18" s="5"/>
      <c r="W18" s="5"/>
      <c r="X18" s="5"/>
      <c r="Y18" s="5"/>
      <c r="Z18" s="5"/>
      <c r="AA18" s="5"/>
      <c r="AB18" s="32" t="s">
        <v>913</v>
      </c>
      <c r="AC18" s="171">
        <f>SUM(AF6:AF15)</f>
        <v>9</v>
      </c>
      <c r="AD18" s="171">
        <f>'Alim -Surf'!K13</f>
        <v>4.4000000000000004</v>
      </c>
      <c r="AE18" s="171">
        <f>IF(AD18&gt;=0,AD18,0)</f>
        <v>4.4000000000000004</v>
      </c>
      <c r="AF18" s="171">
        <f>IF(AD18&gt;=0,AC18-AD18,AC18)</f>
        <v>4.5999999999999996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913</v>
      </c>
      <c r="B19" s="171"/>
      <c r="C19" s="171">
        <f>AE18</f>
        <v>4.4000000000000004</v>
      </c>
      <c r="D19" s="171">
        <f>AF18</f>
        <v>4.5999999999999996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1659.1999999999998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948</v>
      </c>
      <c r="AC19" s="171">
        <f>SUM(AG6:AI15)</f>
        <v>5.0999999999999996</v>
      </c>
      <c r="AD19" s="171">
        <f>'Alim -Surf'!K14</f>
        <v>0.89999999999999947</v>
      </c>
      <c r="AE19" s="171">
        <f>IF(AD19&gt;=0,AD19,0)</f>
        <v>0.89999999999999947</v>
      </c>
      <c r="AF19" s="171">
        <f>IF(AD19&gt;=0,AC19-AD19,AC19)</f>
        <v>4.2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948</v>
      </c>
      <c r="B20" s="171"/>
      <c r="C20" s="171">
        <f>AE19</f>
        <v>0.89999999999999947</v>
      </c>
      <c r="D20" s="171">
        <f t="shared" ref="D20:D21" si="13">AF19</f>
        <v>4.2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829.8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949</v>
      </c>
      <c r="AC20" s="171">
        <f>SUM(AJ6:AJ15)</f>
        <v>0</v>
      </c>
      <c r="AD20" s="171">
        <f>'Alim -Surf'!K15</f>
        <v>-3.5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917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950</v>
      </c>
      <c r="AA22"/>
      <c r="AB22"/>
      <c r="AC22"/>
      <c r="AD22"/>
      <c r="AE22" t="s">
        <v>951</v>
      </c>
      <c r="AF22"/>
      <c r="AG22"/>
      <c r="AH22"/>
      <c r="AI22" t="s">
        <v>952</v>
      </c>
      <c r="AJ22"/>
      <c r="AK22"/>
      <c r="AM22"/>
      <c r="AN22" t="s">
        <v>953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954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955</v>
      </c>
      <c r="S24" s="18"/>
      <c r="T24" s="5" t="s">
        <v>956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957</v>
      </c>
      <c r="X26" t="s">
        <v>958</v>
      </c>
      <c r="AA26" s="169" t="s">
        <v>959</v>
      </c>
      <c r="AB26" s="169" t="s">
        <v>960</v>
      </c>
      <c r="AC26" s="169" t="s">
        <v>710</v>
      </c>
      <c r="AD26" s="5"/>
      <c r="AE26" s="169" t="s">
        <v>959</v>
      </c>
      <c r="AF26" s="169" t="s">
        <v>961</v>
      </c>
      <c r="AG26" s="169" t="s">
        <v>710</v>
      </c>
      <c r="AI26" s="169" t="s">
        <v>959</v>
      </c>
      <c r="AJ26" s="169" t="s">
        <v>962</v>
      </c>
      <c r="AK26" s="169" t="s">
        <v>710</v>
      </c>
      <c r="AL26" s="170"/>
      <c r="AN26" s="169" t="s">
        <v>959</v>
      </c>
      <c r="AO26" s="169" t="s">
        <v>963</v>
      </c>
      <c r="AP26" s="169" t="s">
        <v>710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907</v>
      </c>
      <c r="S27" s="169" t="s">
        <v>923</v>
      </c>
      <c r="T27" s="169" t="s">
        <v>924</v>
      </c>
      <c r="U27" s="169" t="s">
        <v>925</v>
      </c>
      <c r="V27" s="169" t="s">
        <v>13</v>
      </c>
      <c r="X27" s="15" t="s">
        <v>964</v>
      </c>
      <c r="Z27" s="209" t="s">
        <v>965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966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967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448</v>
      </c>
      <c r="R28" s="171">
        <f>IF(Troupeau!B$3="BV",Troupeau!B$17,0)</f>
        <v>58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58</v>
      </c>
      <c r="W28" s="14" t="s">
        <v>448</v>
      </c>
      <c r="X28" s="171">
        <f>V28/$T$25</f>
        <v>58</v>
      </c>
      <c r="Z28" s="14" t="s">
        <v>968</v>
      </c>
      <c r="AA28" s="186">
        <f>[1]Eco!$F$5</f>
        <v>121</v>
      </c>
      <c r="AB28" s="210">
        <f>IF(X28&lt;51,0,IF(X28&gt;99,49,X28-50))</f>
        <v>8</v>
      </c>
      <c r="AC28" s="171">
        <f t="shared" ref="AC28:AC29" si="15">AA28*AB28</f>
        <v>968</v>
      </c>
      <c r="AD28" s="5" t="s">
        <v>969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970</v>
      </c>
      <c r="AK28" s="62">
        <f>AK27*T25</f>
        <v>0</v>
      </c>
      <c r="AL28" s="36"/>
      <c r="AM28" s="14" t="s">
        <v>971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972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490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490</v>
      </c>
      <c r="X29" s="171">
        <f>V29/$T$25</f>
        <v>0</v>
      </c>
      <c r="Z29" s="14" t="s">
        <v>973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970</v>
      </c>
      <c r="AG29" s="62">
        <f>SUM(AG27:AG28)*T25</f>
        <v>0</v>
      </c>
      <c r="AO29" s="40" t="s">
        <v>970</v>
      </c>
      <c r="AP29" s="62">
        <f>IF(Scénario!K10=1,'Calcul éco'!AP27,'Calcul éco'!AP28)*T25</f>
        <v>0</v>
      </c>
    </row>
    <row r="30" spans="1:143" x14ac:dyDescent="0.25">
      <c r="A30" s="15" t="s">
        <v>974</v>
      </c>
      <c r="B30" s="170"/>
      <c r="C30" s="171">
        <f>IF('Alim -Surf'!K27&gt;0,'Alim -Surf'!K27,0)</f>
        <v>0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0</v>
      </c>
      <c r="K30" s="171"/>
      <c r="L30" s="171"/>
      <c r="M30" s="171"/>
      <c r="N30" s="171"/>
      <c r="O30" s="206"/>
      <c r="Q30" s="14" t="s">
        <v>494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975</v>
      </c>
      <c r="X30" s="171">
        <f>(V30+V31)/$T$25</f>
        <v>0</v>
      </c>
      <c r="AB30" s="40" t="s">
        <v>970</v>
      </c>
      <c r="AC30" s="62">
        <f>SUM(AC27:AC29)*T25</f>
        <v>9268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976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977</v>
      </c>
      <c r="Q32" s="14" t="s">
        <v>978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978</v>
      </c>
      <c r="X32" s="171">
        <f>V32/T25</f>
        <v>0</v>
      </c>
    </row>
    <row r="33" spans="1:143" x14ac:dyDescent="0.25">
      <c r="A33" s="2" t="s">
        <v>979</v>
      </c>
      <c r="Q33" s="169"/>
      <c r="R33" s="169"/>
      <c r="S33" s="169"/>
      <c r="T33" s="169"/>
      <c r="U33" s="169"/>
      <c r="X33" s="170"/>
    </row>
    <row r="34" spans="1:143" x14ac:dyDescent="0.25">
      <c r="A34" t="s">
        <v>980</v>
      </c>
      <c r="J34" s="171">
        <f>AC30</f>
        <v>9268</v>
      </c>
      <c r="K34" s="171"/>
      <c r="L34" s="171"/>
      <c r="M34" s="171"/>
      <c r="N34" s="171"/>
      <c r="O34" s="206"/>
      <c r="Q34" s="200" t="s">
        <v>981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982</v>
      </c>
      <c r="J35" s="171">
        <f>AP29</f>
        <v>0</v>
      </c>
      <c r="K35" s="171"/>
      <c r="L35" s="171"/>
      <c r="M35" s="171"/>
      <c r="N35" s="171"/>
      <c r="O35" s="206"/>
      <c r="X35" s="2" t="s">
        <v>983</v>
      </c>
      <c r="Y35" s="14" t="s">
        <v>984</v>
      </c>
      <c r="Z35" s="62" t="str">
        <f>Scénario!K9</f>
        <v>DS</v>
      </c>
    </row>
    <row r="36" spans="1:143" x14ac:dyDescent="0.25">
      <c r="A36" t="s">
        <v>985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986</v>
      </c>
      <c r="Z36" s="62" t="str">
        <f>IF(Y53&gt;50,CONCATENATE(Z35,"O"),Z35)</f>
        <v>DS</v>
      </c>
      <c r="AA36" s="5"/>
      <c r="AB36" s="14" t="s">
        <v>987</v>
      </c>
      <c r="AC36" s="186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988</v>
      </c>
      <c r="J37" s="171">
        <f>AG29</f>
        <v>0</v>
      </c>
      <c r="K37" s="171"/>
      <c r="L37" s="171"/>
      <c r="M37" s="171"/>
      <c r="N37" s="171"/>
      <c r="O37" s="206"/>
      <c r="S37" s="40" t="s">
        <v>989</v>
      </c>
      <c r="T37" t="s">
        <v>990</v>
      </c>
      <c r="U37" t="s">
        <v>991</v>
      </c>
      <c r="V37" t="s">
        <v>992</v>
      </c>
      <c r="X37" s="170"/>
      <c r="AB37" s="169" t="s">
        <v>993</v>
      </c>
      <c r="AC37" s="169" t="s">
        <v>959</v>
      </c>
      <c r="AD37" s="169" t="s">
        <v>710</v>
      </c>
      <c r="AF37" s="169"/>
    </row>
    <row r="38" spans="1:143" x14ac:dyDescent="0.25">
      <c r="A38" t="s">
        <v>994</v>
      </c>
      <c r="J38" s="171">
        <f>AK28</f>
        <v>0</v>
      </c>
      <c r="K38" s="171"/>
      <c r="L38" s="171"/>
      <c r="M38" s="171"/>
      <c r="N38" s="171"/>
      <c r="O38" s="206"/>
      <c r="S38" s="14" t="s">
        <v>995</v>
      </c>
      <c r="T38" s="171">
        <f>SUM('Alim -Surf'!E34:E43)-'Alim -Surf'!E37</f>
        <v>3.5</v>
      </c>
      <c r="U38" s="171">
        <v>1</v>
      </c>
      <c r="V38" s="171">
        <f>T38*U38</f>
        <v>3.5</v>
      </c>
      <c r="Y38" s="14" t="s">
        <v>996</v>
      </c>
      <c r="Z38" s="30">
        <f>V46</f>
        <v>51.9</v>
      </c>
      <c r="AA38" s="14" t="s">
        <v>997</v>
      </c>
      <c r="AB38" s="171">
        <f>IF(Z39&gt;25, 25,Z39)</f>
        <v>25</v>
      </c>
      <c r="AC38" s="171">
        <f>AC40+AC36</f>
        <v>155</v>
      </c>
      <c r="AD38" s="171">
        <f>AB38*AC38</f>
        <v>3875</v>
      </c>
    </row>
    <row r="39" spans="1:143" x14ac:dyDescent="0.25">
      <c r="A39" t="s">
        <v>998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31</v>
      </c>
      <c r="U39" s="171">
        <f>[1]Eco!$B$20/100</f>
        <v>1</v>
      </c>
      <c r="V39" s="171">
        <f t="shared" ref="V39:V41" si="18">T39*U39</f>
        <v>31</v>
      </c>
      <c r="Y39" s="14" t="s">
        <v>999</v>
      </c>
      <c r="Z39" s="30">
        <f>Z38/T25</f>
        <v>51.9</v>
      </c>
      <c r="AA39" s="14" t="s">
        <v>1000</v>
      </c>
      <c r="AB39" s="171">
        <f>IF(Z39&gt;50,25,IF(Z39&gt;25,Z39-25,0))</f>
        <v>25</v>
      </c>
      <c r="AC39" s="171">
        <f>AC40+0.66*AC36</f>
        <v>126.1</v>
      </c>
      <c r="AD39" s="171">
        <f t="shared" ref="AD39:AD40" si="19">AB39*AC39</f>
        <v>3152.5</v>
      </c>
    </row>
    <row r="40" spans="1:143" x14ac:dyDescent="0.25">
      <c r="A40" t="s">
        <v>549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15</v>
      </c>
      <c r="U40" s="171">
        <f>[1]Eco!$B$21/100</f>
        <v>1</v>
      </c>
      <c r="V40" s="171">
        <f t="shared" si="18"/>
        <v>15</v>
      </c>
      <c r="AA40" s="14" t="s">
        <v>1001</v>
      </c>
      <c r="AB40" s="171">
        <f>IF(Z39&gt;75,25,IF(Z39&gt;50,Z39-50,0))</f>
        <v>1.8999999999999986</v>
      </c>
      <c r="AC40" s="186">
        <f>[1]Eco!$B$34</f>
        <v>70</v>
      </c>
      <c r="AD40" s="171">
        <f t="shared" si="19"/>
        <v>132.99999999999989</v>
      </c>
    </row>
    <row r="41" spans="1:143" x14ac:dyDescent="0.25">
      <c r="A41" s="23" t="s">
        <v>1002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4</v>
      </c>
      <c r="U41" s="171">
        <f>[1]Eco!$B$22/100</f>
        <v>0.6</v>
      </c>
      <c r="V41" s="171">
        <f t="shared" si="18"/>
        <v>2.4</v>
      </c>
      <c r="AC41" s="40" t="s">
        <v>970</v>
      </c>
      <c r="AD41" s="62">
        <f>SUM(AD38:AD40)*T25</f>
        <v>7160.5</v>
      </c>
    </row>
    <row r="42" spans="1:143" x14ac:dyDescent="0.25">
      <c r="A42" t="s">
        <v>1003</v>
      </c>
      <c r="B42" s="30">
        <f>V46</f>
        <v>51.9</v>
      </c>
      <c r="C42" s="211">
        <f>[1]Eco!$B$24</f>
        <v>97</v>
      </c>
      <c r="J42" s="171">
        <f>B42*C42</f>
        <v>5034.3</v>
      </c>
      <c r="K42" s="171"/>
      <c r="L42" s="171"/>
      <c r="M42" s="171"/>
      <c r="N42" s="171"/>
      <c r="O42" s="206"/>
      <c r="R42" s="212"/>
      <c r="S42" s="207" t="s">
        <v>1004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1005</v>
      </c>
      <c r="AG42" s="213" t="s">
        <v>1006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1007</v>
      </c>
      <c r="B43" s="30">
        <f>IF(Z39&gt;52,52,Z39)*T25</f>
        <v>51.9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2543.1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1008</v>
      </c>
      <c r="B44" s="30">
        <f>B42</f>
        <v>51.9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3477.2999999999997</v>
      </c>
      <c r="K44" s="171"/>
      <c r="L44" s="171"/>
      <c r="M44" s="171"/>
      <c r="N44" s="171"/>
      <c r="O44" s="206"/>
      <c r="U44" s="40" t="s">
        <v>1009</v>
      </c>
      <c r="V44" s="62">
        <f>SUM(V38:V41)-T42</f>
        <v>51.9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1010</v>
      </c>
      <c r="J45" s="171">
        <f>IF(Scénario!K9=0,0,AD41)</f>
        <v>7160.5</v>
      </c>
      <c r="K45" s="171"/>
      <c r="L45" s="171"/>
      <c r="M45" s="171"/>
      <c r="N45" s="171"/>
      <c r="O45" s="206"/>
      <c r="U45" s="14" t="s">
        <v>1011</v>
      </c>
      <c r="V45" s="171">
        <f>S55</f>
        <v>0</v>
      </c>
      <c r="X45" s="213" t="s">
        <v>1012</v>
      </c>
      <c r="Y45" s="213"/>
      <c r="Z45" s="213"/>
      <c r="AA45" s="213"/>
      <c r="AB45" s="213"/>
      <c r="AC45" s="213"/>
      <c r="AD45" s="213"/>
      <c r="AE45" s="213"/>
      <c r="AF45" s="215" t="s">
        <v>559</v>
      </c>
      <c r="AG45" s="213"/>
      <c r="AH45" s="213" t="s">
        <v>1013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573</v>
      </c>
      <c r="BH45" s="213"/>
      <c r="BI45" s="213" t="s">
        <v>1013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580</v>
      </c>
      <c r="CJ45" s="215"/>
      <c r="CK45" s="215" t="s">
        <v>1013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1014</v>
      </c>
      <c r="DL45" s="215"/>
      <c r="DM45" s="215" t="s">
        <v>1013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1015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1016</v>
      </c>
      <c r="V46" s="62">
        <f>V44+V45</f>
        <v>51.9</v>
      </c>
      <c r="W46"/>
      <c r="X46" s="213"/>
      <c r="Y46" s="217" t="s">
        <v>907</v>
      </c>
      <c r="Z46" s="217" t="s">
        <v>923</v>
      </c>
      <c r="AA46" s="217" t="s">
        <v>924</v>
      </c>
      <c r="AB46" s="217" t="s">
        <v>925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448</v>
      </c>
      <c r="Y47" s="217">
        <f>IF(Troupeau!B$3="BV",Troupeau!B$49,0)</f>
        <v>65.299999999999983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65.299999999999983</v>
      </c>
      <c r="AD47" s="213"/>
      <c r="AE47" s="213"/>
      <c r="AF47" s="220" t="s">
        <v>1017</v>
      </c>
      <c r="AG47" s="213" t="str">
        <f>CdTrp1!A39</f>
        <v>Vaches lots principal</v>
      </c>
      <c r="AH47" s="217">
        <f>CdTrp1!B39</f>
        <v>37.467999999999996</v>
      </c>
      <c r="AI47" s="217">
        <f>CdTrp1!C39</f>
        <v>37.467999999999996</v>
      </c>
      <c r="AJ47" s="217">
        <f>CdTrp1!D39</f>
        <v>37.467999999999996</v>
      </c>
      <c r="AK47" s="217">
        <f>CdTrp1!E39</f>
        <v>37.467999999999996</v>
      </c>
      <c r="AL47" s="217">
        <f>CdTrp1!F39</f>
        <v>35.495999999999995</v>
      </c>
      <c r="AM47" s="217">
        <f>CdTrp1!G39</f>
        <v>33.523999999999994</v>
      </c>
      <c r="AN47" s="217">
        <f>CdTrp1!H39</f>
        <v>31.551999999999996</v>
      </c>
      <c r="AO47" s="217">
        <f>CdTrp1!I39</f>
        <v>29.58</v>
      </c>
      <c r="AP47" s="217">
        <f>CdTrp1!J39</f>
        <v>28.594000000000001</v>
      </c>
      <c r="AQ47" s="217">
        <f>CdTrp1!K39</f>
        <v>27.607999999999997</v>
      </c>
      <c r="AR47" s="217">
        <f>CdTrp1!L39</f>
        <v>26.622</v>
      </c>
      <c r="AS47" s="217">
        <f>CdTrp1!M39</f>
        <v>26.622</v>
      </c>
      <c r="AT47" s="217">
        <f>CdTrp1!N39</f>
        <v>26.622</v>
      </c>
      <c r="AU47" s="217">
        <f>CdTrp1!O39</f>
        <v>26.622</v>
      </c>
      <c r="AV47" s="217">
        <f>CdTrp1!P39</f>
        <v>25.635999999999999</v>
      </c>
      <c r="AW47" s="217">
        <f>CdTrp1!Q39</f>
        <v>25.635999999999999</v>
      </c>
      <c r="AX47" s="217">
        <f>CdTrp1!R39</f>
        <v>26.622</v>
      </c>
      <c r="AY47" s="217">
        <f>CdTrp1!S39</f>
        <v>27.607999999999997</v>
      </c>
      <c r="AZ47" s="217">
        <f>CdTrp1!T39</f>
        <v>29.58</v>
      </c>
      <c r="BA47" s="217">
        <f>CdTrp1!U39</f>
        <v>31.551999999999996</v>
      </c>
      <c r="BB47" s="217">
        <f>CdTrp1!V39</f>
        <v>34.51</v>
      </c>
      <c r="BC47" s="217">
        <f>CdTrp1!W39</f>
        <v>36.481999999999999</v>
      </c>
      <c r="BD47" s="217">
        <f>CdTrp1!X39</f>
        <v>37.467999999999996</v>
      </c>
      <c r="BE47" s="217">
        <f>CdTrp1!Y39</f>
        <v>37.467999999999996</v>
      </c>
      <c r="BF47" s="213"/>
      <c r="BG47" s="214" t="s">
        <v>1017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1017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1017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1018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74776.2</v>
      </c>
      <c r="K48" s="222"/>
      <c r="L48" s="222"/>
      <c r="M48" s="222"/>
      <c r="N48" s="222"/>
      <c r="O48" s="223"/>
      <c r="X48" s="214" t="s">
        <v>490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19.488</v>
      </c>
      <c r="AI48" s="217">
        <f>CdTrp1!C40</f>
        <v>19.488</v>
      </c>
      <c r="AJ48" s="217">
        <f>CdTrp1!D40</f>
        <v>19.488</v>
      </c>
      <c r="AK48" s="217">
        <f>CdTrp1!E40</f>
        <v>19.488</v>
      </c>
      <c r="AL48" s="217">
        <f>CdTrp1!F40</f>
        <v>19.488</v>
      </c>
      <c r="AM48" s="217">
        <f>CdTrp1!G40</f>
        <v>19.488</v>
      </c>
      <c r="AN48" s="217">
        <f>CdTrp1!H40</f>
        <v>19.488</v>
      </c>
      <c r="AO48" s="217">
        <f>CdTrp1!I40</f>
        <v>19.488</v>
      </c>
      <c r="AP48" s="217">
        <f>CdTrp1!J40</f>
        <v>19.488</v>
      </c>
      <c r="AQ48" s="217">
        <f>CdTrp1!K40</f>
        <v>19.488</v>
      </c>
      <c r="AR48" s="217">
        <f>CdTrp1!L40</f>
        <v>19.488</v>
      </c>
      <c r="AS48" s="217">
        <f>CdTrp1!M40</f>
        <v>19.488</v>
      </c>
      <c r="AT48" s="217">
        <f>CdTrp1!N40</f>
        <v>19.488</v>
      </c>
      <c r="AU48" s="217">
        <f>CdTrp1!O40</f>
        <v>19.488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1</v>
      </c>
      <c r="BH48" s="217">
        <f>IF(CdTrp1!N76=1,1,IF(CdTrp1!N76=2,2,IF(CdTrp1!N76=3,2,0)))</f>
        <v>1</v>
      </c>
      <c r="BI48" s="217">
        <f>IF(CdTrp1!O76=1,1,IF(CdTrp1!O76=2,2,IF(CdTrp1!O76=3,2,0)))</f>
        <v>1</v>
      </c>
      <c r="BJ48" s="217">
        <f>IF(CdTrp1!P76=1,1,IF(CdTrp1!P76=2,2,IF(CdTrp1!P76=3,2,0)))</f>
        <v>1</v>
      </c>
      <c r="BK48" s="217">
        <f>IF(CdTrp1!Q76=1,1,IF(CdTrp1!Q76=2,2,IF(CdTrp1!Q76=3,2,0)))</f>
        <v>1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1019</v>
      </c>
      <c r="X49" s="214" t="s">
        <v>494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0.40599999999999997</v>
      </c>
      <c r="AL49" s="217">
        <f>CdTrp1!F41</f>
        <v>0.81199999999999994</v>
      </c>
      <c r="AM49" s="217">
        <f>CdTrp1!G41</f>
        <v>2.0299999999999998</v>
      </c>
      <c r="AN49" s="217">
        <f>CdTrp1!H41</f>
        <v>3.2479999999999998</v>
      </c>
      <c r="AO49" s="217">
        <f>CdTrp1!I41</f>
        <v>4.4659999999999993</v>
      </c>
      <c r="AP49" s="217">
        <f>CdTrp1!J41</f>
        <v>4.4659999999999993</v>
      </c>
      <c r="AQ49" s="217">
        <f>CdTrp1!K41</f>
        <v>4.4659999999999993</v>
      </c>
      <c r="AR49" s="217">
        <f>CdTrp1!L41</f>
        <v>4.8719999999999999</v>
      </c>
      <c r="AS49" s="217">
        <f>CdTrp1!M41</f>
        <v>4.8719999999999999</v>
      </c>
      <c r="AT49" s="217">
        <f>CdTrp1!N41</f>
        <v>4.8719999999999999</v>
      </c>
      <c r="AU49" s="217">
        <f>CdTrp1!O41</f>
        <v>4.8719999999999999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2</v>
      </c>
      <c r="BA49" s="217">
        <f>IF(CdTrp1!G77=1,1,IF(CdTrp1!G77=2,2,IF(CdTrp1!G77=3,2,0)))</f>
        <v>2</v>
      </c>
      <c r="BB49" s="217">
        <f>IF(CdTrp1!H77=1,1,IF(CdTrp1!H77=2,2,IF(CdTrp1!H77=3,2,0)))</f>
        <v>2</v>
      </c>
      <c r="BC49" s="217">
        <f>IF(CdTrp1!I77=1,1,IF(CdTrp1!I77=2,2,IF(CdTrp1!I77=3,2,0)))</f>
        <v>2</v>
      </c>
      <c r="BD49" s="217">
        <f>IF(CdTrp1!J77=1,1,IF(CdTrp1!J77=2,2,IF(CdTrp1!J77=3,2,0)))</f>
        <v>2</v>
      </c>
      <c r="BE49" s="217">
        <f>IF(CdTrp1!K77=1,1,IF(CdTrp1!K77=2,2,IF(CdTrp1!K77=3,2,0)))</f>
        <v>2</v>
      </c>
      <c r="BF49" s="217">
        <f>IF(CdTrp1!L77=1,1,IF(CdTrp1!L77=2,2,IF(CdTrp1!L77=3,2,0)))</f>
        <v>2</v>
      </c>
      <c r="BG49" s="217">
        <f>IF(CdTrp1!M77=1,1,IF(CdTrp1!M77=2,2,IF(CdTrp1!M77=3,2,0)))</f>
        <v>2</v>
      </c>
      <c r="BH49" s="217">
        <f>IF(CdTrp1!N77=1,1,IF(CdTrp1!N77=2,2,IF(CdTrp1!N77=3,2,0)))</f>
        <v>2</v>
      </c>
      <c r="BI49" s="217">
        <f>IF(CdTrp1!O77=1,1,IF(CdTrp1!O77=2,2,IF(CdTrp1!O77=3,2,0)))</f>
        <v>2</v>
      </c>
      <c r="BJ49" s="217">
        <f>IF(CdTrp1!P77=1,1,IF(CdTrp1!P77=2,2,IF(CdTrp1!P77=3,2,0)))</f>
        <v>2</v>
      </c>
      <c r="BK49" s="217">
        <f>IF(CdTrp1!Q77=1,1,IF(CdTrp1!Q77=2,2,IF(CdTrp1!Q77=3,2,0)))</f>
        <v>2</v>
      </c>
      <c r="BL49" s="217">
        <f>IF(CdTrp1!R77=1,1,IF(CdTrp1!R77=2,2,IF(CdTrp1!R77=3,2,0)))</f>
        <v>2</v>
      </c>
      <c r="BM49" s="217">
        <f>IF(CdTrp1!S77=1,1,IF(CdTrp1!S77=2,2,IF(CdTrp1!S77=3,2,0)))</f>
        <v>2</v>
      </c>
      <c r="BN49" s="217">
        <f>IF(CdTrp1!T77=1,1,IF(CdTrp1!T77=2,2,IF(CdTrp1!T77=3,2,0)))</f>
        <v>2</v>
      </c>
      <c r="BO49" s="217">
        <f>IF(CdTrp1!U77=1,1,IF(CdTrp1!U77=2,2,IF(CdTrp1!U77=3,2,0)))</f>
        <v>2</v>
      </c>
      <c r="BP49" s="217">
        <f>IF(CdTrp1!V77=1,1,IF(CdTrp1!V77=2,2,IF(CdTrp1!V77=3,2,0)))</f>
        <v>2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559</v>
      </c>
      <c r="R50" t="str">
        <f>Troupeau!B3</f>
        <v>BV</v>
      </c>
      <c r="S50" s="30">
        <f>Scénario!K54*Scénario!K55+Scénario!K76*Scénario!K77</f>
        <v>0</v>
      </c>
      <c r="X50" s="214" t="s">
        <v>976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1.9719999999999998</v>
      </c>
      <c r="AM50" s="217">
        <f>CdTrp1!G42</f>
        <v>3.9439999999999995</v>
      </c>
      <c r="AN50" s="217">
        <f>CdTrp1!H42</f>
        <v>5.9159999999999995</v>
      </c>
      <c r="AO50" s="217">
        <f>CdTrp1!I42</f>
        <v>7.887999999999999</v>
      </c>
      <c r="AP50" s="217">
        <f>CdTrp1!J42</f>
        <v>8.8739999999999988</v>
      </c>
      <c r="AQ50" s="217">
        <f>CdTrp1!K42</f>
        <v>9.86</v>
      </c>
      <c r="AR50" s="217">
        <f>CdTrp1!L42</f>
        <v>10.846</v>
      </c>
      <c r="AS50" s="217">
        <f>CdTrp1!M42</f>
        <v>10.846</v>
      </c>
      <c r="AT50" s="217">
        <f>CdTrp1!N42</f>
        <v>10.846</v>
      </c>
      <c r="AU50" s="217">
        <f>CdTrp1!O42</f>
        <v>10.846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573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978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broutard</v>
      </c>
      <c r="AH51" s="217">
        <f>CdTrp1!B43</f>
        <v>6.6119999999999992</v>
      </c>
      <c r="AI51" s="217">
        <f>CdTrp1!C43</f>
        <v>6.6119999999999992</v>
      </c>
      <c r="AJ51" s="217">
        <f>CdTrp1!D43</f>
        <v>6.6119999999999992</v>
      </c>
      <c r="AK51" s="217">
        <f>CdTrp1!E43</f>
        <v>6.6119999999999992</v>
      </c>
      <c r="AL51" s="217">
        <f>CdTrp1!F43</f>
        <v>6.2639999999999993</v>
      </c>
      <c r="AM51" s="217">
        <f>CdTrp1!G43</f>
        <v>5.9159999999999995</v>
      </c>
      <c r="AN51" s="217">
        <f>CdTrp1!H43</f>
        <v>5.5679999999999996</v>
      </c>
      <c r="AO51" s="217">
        <f>CdTrp1!I43</f>
        <v>5.22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1</v>
      </c>
      <c r="BA51" s="217">
        <f>IF(CdTrp1!G79=1,1,IF(CdTrp1!G79=2,2,IF(CdTrp1!G79=3,2,0)))</f>
        <v>1</v>
      </c>
      <c r="BB51" s="217">
        <f>IF(CdTrp1!H79=1,1,IF(CdTrp1!H79=2,2,IF(CdTrp1!H79=3,2,0)))</f>
        <v>1</v>
      </c>
      <c r="BC51" s="217">
        <f>IF(CdTrp1!I79=1,1,IF(CdTrp1!I79=2,2,IF(CdTrp1!I79=3,2,0)))</f>
        <v>1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1</v>
      </c>
      <c r="BR51" s="217">
        <f>IF(CdTrp1!X79=1,1,IF(CdTrp1!X79=2,2,IF(CdTrp1!X79=3,2,0)))</f>
        <v>1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580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1020</v>
      </c>
      <c r="Y53" s="213">
        <f>ROUND(SUM(AC49:AC51)/SUM(AC47:AC51)*100,0)</f>
        <v>0</v>
      </c>
      <c r="Z53" s="213" t="s">
        <v>444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1021</v>
      </c>
      <c r="S54" s="30">
        <f>SUM(S50:S53)</f>
        <v>0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1022</v>
      </c>
      <c r="S55" s="30">
        <f>S54*[1]Eco!$B$25</f>
        <v>0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1023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1023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1023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1023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1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2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broutard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1024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0</v>
      </c>
      <c r="AS69" s="217">
        <f t="shared" si="24"/>
        <v>0</v>
      </c>
      <c r="AT69" s="217">
        <f t="shared" si="24"/>
        <v>0</v>
      </c>
      <c r="AU69" s="217">
        <f t="shared" si="24"/>
        <v>0</v>
      </c>
      <c r="AV69" s="217">
        <f t="shared" si="24"/>
        <v>0</v>
      </c>
      <c r="AW69" s="217">
        <f t="shared" si="24"/>
        <v>0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1024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1024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1024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1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2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0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broutard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1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1025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1026</v>
      </c>
      <c r="AG79" s="215">
        <f>SUM(AH69:BE78)</f>
        <v>0</v>
      </c>
      <c r="AH79" s="213" t="s">
        <v>1027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1026</v>
      </c>
      <c r="BH79" s="213">
        <f>SUM(BI69:CF78)</f>
        <v>0</v>
      </c>
      <c r="BI79" s="213" t="s">
        <v>1027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1026</v>
      </c>
      <c r="CJ79" s="213">
        <f>SUM(CK69:DH78)</f>
        <v>0</v>
      </c>
      <c r="CK79" s="213" t="s">
        <v>1027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1026</v>
      </c>
      <c r="DL79" s="213">
        <f>SUM(DM69:EJ78)</f>
        <v>0</v>
      </c>
      <c r="DM79" s="213" t="s">
        <v>1027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1028</v>
      </c>
      <c r="D80" s="33" t="s">
        <v>1029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1030</v>
      </c>
      <c r="C81" s="36" t="s">
        <v>1031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5.6999999999999993</v>
      </c>
      <c r="E82" s="171">
        <f t="shared" ref="E82:F97" si="31">BZ89+CD89</f>
        <v>0</v>
      </c>
      <c r="F82" s="171">
        <f t="shared" si="31"/>
        <v>0</v>
      </c>
      <c r="J82" s="171">
        <f>SUM(K82:M82)</f>
        <v>1139.9999999999998</v>
      </c>
      <c r="K82" s="171">
        <f>$C82*D82</f>
        <v>1139.9999999999998</v>
      </c>
      <c r="L82" s="171">
        <f t="shared" ref="L82:M97" si="32">$C82*E82</f>
        <v>0</v>
      </c>
      <c r="M82" s="171">
        <f t="shared" si="32"/>
        <v>0</v>
      </c>
      <c r="X82" s="14" t="s">
        <v>1032</v>
      </c>
      <c r="Y82" s="171">
        <f>B14</f>
        <v>1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4.2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693</v>
      </c>
      <c r="K83" s="171">
        <f t="shared" ref="K83:M106" si="35">$C83*D83</f>
        <v>693</v>
      </c>
      <c r="L83" s="171">
        <f t="shared" si="32"/>
        <v>0</v>
      </c>
      <c r="M83" s="171">
        <f t="shared" si="32"/>
        <v>0</v>
      </c>
      <c r="Q83" s="2" t="s">
        <v>1033</v>
      </c>
      <c r="X83" s="14" t="s">
        <v>1034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3.5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1035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1036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0.4</v>
      </c>
      <c r="E87" s="171">
        <f t="shared" si="31"/>
        <v>0</v>
      </c>
      <c r="F87" s="171">
        <f t="shared" si="31"/>
        <v>0</v>
      </c>
      <c r="J87" s="171">
        <f t="shared" si="34"/>
        <v>163.20000000000002</v>
      </c>
      <c r="K87" s="171">
        <f t="shared" si="35"/>
        <v>163.20000000000002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1037</v>
      </c>
      <c r="AB87" t="s">
        <v>86</v>
      </c>
      <c r="AL87"/>
      <c r="BG87"/>
      <c r="BY87" t="s">
        <v>933</v>
      </c>
      <c r="CC87" t="s">
        <v>1038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1039</v>
      </c>
      <c r="Z88" t="s">
        <v>710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907</v>
      </c>
      <c r="BZ88" s="169" t="s">
        <v>923</v>
      </c>
      <c r="CA88" s="169" t="s">
        <v>924</v>
      </c>
      <c r="CB88" s="169"/>
      <c r="CC88" s="169" t="s">
        <v>907</v>
      </c>
      <c r="CD88" s="169" t="s">
        <v>923</v>
      </c>
      <c r="CE88" s="169" t="s">
        <v>924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7">IF($X89=AB$88,ROUND($Z89/1000,1),0)</f>
        <v>1.1000000000000001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1.1000000000000001</v>
      </c>
      <c r="BZ89" s="171">
        <f>+AB$101</f>
        <v>0</v>
      </c>
      <c r="CA89" s="171">
        <f>+AB$108</f>
        <v>0</v>
      </c>
      <c r="CC89" s="171">
        <f>CdTrp1!AK$54</f>
        <v>4.5999999999999996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0.3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0</v>
      </c>
      <c r="BZ90" s="171">
        <f>+AC$101</f>
        <v>0</v>
      </c>
      <c r="CA90" s="171">
        <f>+AC$108</f>
        <v>0</v>
      </c>
      <c r="CC90" s="171">
        <f>CdTrp1!AL$54</f>
        <v>4.2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3.5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1.1000000000000001</v>
      </c>
      <c r="AC94" s="227">
        <f t="shared" ref="AC94:BV94" si="40">SUM(AC89:AC93)</f>
        <v>0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0.3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0.3</v>
      </c>
      <c r="BZ94" s="171">
        <f>+AG$101</f>
        <v>0</v>
      </c>
      <c r="CA94" s="171">
        <f>+AG$108</f>
        <v>0</v>
      </c>
      <c r="CC94" s="171">
        <f>CdTrp1!AP$54</f>
        <v>0.1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7.6</v>
      </c>
      <c r="E98" s="171">
        <f t="shared" si="33"/>
        <v>0</v>
      </c>
      <c r="F98" s="171">
        <f t="shared" si="33"/>
        <v>0</v>
      </c>
      <c r="J98" s="171">
        <f t="shared" si="34"/>
        <v>2280</v>
      </c>
      <c r="K98" s="171">
        <f t="shared" si="35"/>
        <v>2280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7.6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1040</v>
      </c>
      <c r="J110" s="171">
        <f t="shared" ref="J110:J115" si="52">SUM(K110:N110)</f>
        <v>3341</v>
      </c>
      <c r="K110" s="175">
        <f t="shared" ref="K110:K115" si="53">ROUND(T132*U132,0)</f>
        <v>3341</v>
      </c>
      <c r="L110" s="175">
        <f>ROUND(V132*W132,0)</f>
        <v>0</v>
      </c>
      <c r="M110" s="175">
        <f t="shared" ref="M110:M115" si="54">ROUND(X132*Y132,0)</f>
        <v>0</v>
      </c>
      <c r="R110" s="40" t="s">
        <v>1041</v>
      </c>
      <c r="S110" s="169" t="str">
        <f>Troupeau!B3</f>
        <v>BV</v>
      </c>
      <c r="T110" s="61">
        <f>SUM(K82:K106)</f>
        <v>4276.2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1042</v>
      </c>
      <c r="J111" s="171">
        <f t="shared" si="52"/>
        <v>1949</v>
      </c>
      <c r="K111" s="175">
        <f t="shared" si="53"/>
        <v>1949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1043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1044</v>
      </c>
      <c r="J113" s="171">
        <f t="shared" si="52"/>
        <v>1322</v>
      </c>
      <c r="K113" s="175">
        <f t="shared" si="53"/>
        <v>1322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1045</v>
      </c>
      <c r="J114" s="171">
        <f t="shared" si="52"/>
        <v>0</v>
      </c>
      <c r="K114" s="175">
        <f t="shared" si="53"/>
        <v>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1046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1047</v>
      </c>
      <c r="K116" s="62">
        <f>SUM(K110:K115)+SUM(K82:K106)</f>
        <v>10888.2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1048</v>
      </c>
      <c r="B118" s="175">
        <f>IF('Alim -Surf'!K27&lt;0,-'Alim -Surf'!K27,0)</f>
        <v>50.30299999999999</v>
      </c>
      <c r="C118" s="186">
        <f>IF(Scénario!$K$12="BV",[1]Eco!$B$78,IF(Scénario!$K$12="BL",[1]Eco!$B$77,[1]Eco!$B$76))</f>
        <v>150</v>
      </c>
      <c r="J118" s="171">
        <f>B118*C118</f>
        <v>7545.4499999999989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1049</v>
      </c>
      <c r="B119" s="175">
        <f>IF('Alim -Surf'!K9&lt;0,-'Alim -Surf'!K9,0)</f>
        <v>55.918823529411782</v>
      </c>
      <c r="C119" s="186">
        <f>[1]Eco!$B$79</f>
        <v>80</v>
      </c>
      <c r="J119" s="171">
        <f>B119*C119</f>
        <v>4473.5058823529425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1050</v>
      </c>
      <c r="B121" t="s">
        <v>1051</v>
      </c>
      <c r="C121" t="s">
        <v>37</v>
      </c>
      <c r="D121" t="s">
        <v>1052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8</v>
      </c>
      <c r="C122" s="171">
        <f>'Alim -Surf'!E34</f>
        <v>1.5</v>
      </c>
      <c r="D122" s="186">
        <f>IF(B122=0,0,VLOOKUP(A122,[1]Anx!$A$212:$CO$218,3+Troupeau!$J$17))</f>
        <v>562</v>
      </c>
      <c r="J122" s="171">
        <f>C122*D122</f>
        <v>843</v>
      </c>
      <c r="K122" s="170"/>
      <c r="L122" s="170"/>
      <c r="M122" s="170"/>
      <c r="N122" s="170"/>
      <c r="T122" s="2" t="s">
        <v>559</v>
      </c>
      <c r="U122" s="2" t="s">
        <v>573</v>
      </c>
      <c r="V122" s="2" t="s">
        <v>580</v>
      </c>
      <c r="W122" s="2" t="s">
        <v>1014</v>
      </c>
      <c r="BG122"/>
      <c r="BH122" s="14"/>
    </row>
    <row r="123" spans="1:83" x14ac:dyDescent="0.25">
      <c r="A123" s="185" t="str">
        <f>LEFT('Alim -Surf'!B35,10)</f>
        <v>orge hiver</v>
      </c>
      <c r="B123" s="171">
        <f>'Alim -Surf'!D35</f>
        <v>17</v>
      </c>
      <c r="C123" s="171">
        <f>'Alim -Surf'!E35</f>
        <v>1</v>
      </c>
      <c r="D123" s="186">
        <f>IF(B123=0,0,VLOOKUP(A123,[1]Anx!$A$212:$CO$218,3+Troupeau!$J$17))</f>
        <v>374</v>
      </c>
      <c r="J123" s="171">
        <f t="shared" ref="J123:J131" si="56">C123*D123</f>
        <v>374</v>
      </c>
      <c r="K123" s="170"/>
      <c r="L123" s="170"/>
      <c r="M123" s="170"/>
      <c r="N123" s="170"/>
      <c r="S123" s="14" t="s">
        <v>1053</v>
      </c>
      <c r="T123" s="169">
        <f>Troupeau!J17</f>
        <v>52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1054</v>
      </c>
      <c r="AL123"/>
      <c r="AM123" s="5"/>
      <c r="BG123"/>
      <c r="BH123" s="14"/>
    </row>
    <row r="124" spans="1:83" x14ac:dyDescent="0.25">
      <c r="A124" s="185" t="str">
        <f>LEFT('Alim -Surf'!B36,10)</f>
        <v>maïs grain</v>
      </c>
      <c r="B124" s="171">
        <f>'Alim -Surf'!D36</f>
        <v>7</v>
      </c>
      <c r="C124" s="171">
        <f>'Alim -Surf'!E36</f>
        <v>1</v>
      </c>
      <c r="D124" s="186">
        <f>IF(B124=0,0,VLOOKUP(A124,[1]Anx!$A$212:$CO$218,3+Troupeau!$J$17))</f>
        <v>669</v>
      </c>
      <c r="J124" s="171">
        <f t="shared" si="56"/>
        <v>669</v>
      </c>
      <c r="K124" s="170"/>
      <c r="L124" s="170"/>
      <c r="M124" s="170"/>
      <c r="N124" s="170"/>
      <c r="S124" s="14" t="s">
        <v>1055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559</v>
      </c>
      <c r="AG124" s="2" t="s">
        <v>573</v>
      </c>
      <c r="AH124" s="2" t="s">
        <v>580</v>
      </c>
      <c r="AI124" s="2" t="s">
        <v>1014</v>
      </c>
      <c r="AJ124" s="230" t="s">
        <v>1056</v>
      </c>
      <c r="AL124"/>
      <c r="AM124" s="5"/>
      <c r="BG124"/>
      <c r="BH124" s="14"/>
    </row>
    <row r="125" spans="1:83" x14ac:dyDescent="0.25">
      <c r="A125" s="185" t="str">
        <f>LEFT('Alim -Surf'!B37,10)</f>
        <v>landes lit</v>
      </c>
      <c r="B125" s="171">
        <f>'Alim -Surf'!D37</f>
        <v>28</v>
      </c>
      <c r="C125" s="171">
        <f>'Alim -Surf'!E37</f>
        <v>4</v>
      </c>
      <c r="D125" s="186">
        <f>IF(B125=0,0,VLOOKUP(A125,[1]Anx!$A$212:$CO$218,3+Troupeau!$J$17))</f>
        <v>374</v>
      </c>
      <c r="J125" s="171">
        <f t="shared" si="56"/>
        <v>1496</v>
      </c>
      <c r="K125" s="170"/>
      <c r="L125" s="170"/>
      <c r="M125" s="170"/>
      <c r="N125" s="170"/>
      <c r="S125" s="14" t="s">
        <v>1057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1058</v>
      </c>
      <c r="AF125" s="30">
        <f>Troupeau!J17</f>
        <v>52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1059</v>
      </c>
      <c r="T126">
        <f>ROUND(AF147/100,2)</f>
        <v>143.6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1060</v>
      </c>
      <c r="AE126" t="s">
        <v>1061</v>
      </c>
      <c r="AF126" s="30">
        <f>B9</f>
        <v>24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1062</v>
      </c>
      <c r="T127">
        <f>Troupeau!B17</f>
        <v>58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1063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1064</v>
      </c>
      <c r="AE128" t="s">
        <v>1065</v>
      </c>
      <c r="AF128" s="30">
        <f>AF126*AF127</f>
        <v>5760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1066</v>
      </c>
      <c r="AE129" t="s">
        <v>1061</v>
      </c>
      <c r="AF129" s="30">
        <f>B10</f>
        <v>16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559</v>
      </c>
      <c r="U130" s="2"/>
      <c r="V130" s="2" t="s">
        <v>573</v>
      </c>
      <c r="W130" s="2"/>
      <c r="X130" s="2" t="s">
        <v>580</v>
      </c>
      <c r="Y130" s="2"/>
      <c r="Z130" s="2" t="s">
        <v>1014</v>
      </c>
      <c r="AA130" s="2"/>
      <c r="AB130" s="204"/>
      <c r="AE130" t="s">
        <v>1063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1067</v>
      </c>
      <c r="U131" s="169" t="s">
        <v>1068</v>
      </c>
      <c r="V131" s="169" t="s">
        <v>1067</v>
      </c>
      <c r="W131" s="169" t="s">
        <v>1068</v>
      </c>
      <c r="X131" s="169" t="s">
        <v>1067</v>
      </c>
      <c r="Y131" s="169" t="s">
        <v>1068</v>
      </c>
      <c r="Z131" s="169" t="s">
        <v>1067</v>
      </c>
      <c r="AA131" s="169" t="s">
        <v>1068</v>
      </c>
      <c r="AB131" s="204" t="s">
        <v>1069</v>
      </c>
      <c r="AE131" t="s">
        <v>1065</v>
      </c>
      <c r="AF131" s="30">
        <f>AF129*AF130</f>
        <v>3840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1070</v>
      </c>
      <c r="B132" s="5"/>
      <c r="C132" s="171">
        <f>AH228</f>
        <v>44</v>
      </c>
      <c r="D132" s="186">
        <f>HLOOKUP(Troupeau!$J$17,[1]Anx!$D$170:$CN$186,'Calcul éco'!O132)</f>
        <v>36</v>
      </c>
      <c r="E132" s="231"/>
      <c r="F132" s="231"/>
      <c r="G132" s="18"/>
      <c r="J132" s="171">
        <f>D132*C132</f>
        <v>1584</v>
      </c>
      <c r="K132" s="170"/>
      <c r="L132" s="170"/>
      <c r="M132" s="170"/>
      <c r="N132" s="170"/>
      <c r="O132" s="229">
        <v>10</v>
      </c>
      <c r="S132" s="14" t="s">
        <v>1040</v>
      </c>
      <c r="T132" s="169">
        <f>$T$127</f>
        <v>58</v>
      </c>
      <c r="U132" s="186">
        <f>HLOOKUP($T$123,[1]Anx!$D$170:$CN$1177,$AB132)</f>
        <v>57.599999999999994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1071</v>
      </c>
      <c r="AE132" t="s">
        <v>1061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1072</v>
      </c>
      <c r="B133" s="5"/>
      <c r="C133" s="171">
        <f>AI228</f>
        <v>0</v>
      </c>
      <c r="D133" s="186">
        <f>HLOOKUP(Troupeau!$J$17,[1]Anx!$D$170:$CN$186,'Calcul éco'!O133)</f>
        <v>62.16</v>
      </c>
      <c r="E133" s="231"/>
      <c r="F133" s="231"/>
      <c r="G133" s="18"/>
      <c r="J133" s="171">
        <f t="shared" ref="J133:J138" si="59">D133*C133</f>
        <v>0</v>
      </c>
      <c r="K133" s="170"/>
      <c r="L133" s="170"/>
      <c r="M133" s="170"/>
      <c r="N133" s="170"/>
      <c r="O133" s="229">
        <v>11</v>
      </c>
      <c r="S133" s="14" t="s">
        <v>1042</v>
      </c>
      <c r="T133" s="169">
        <f>$T$127</f>
        <v>58</v>
      </c>
      <c r="U133" s="186">
        <f>HLOOKUP($T$123,[1]Anx!$D$170:$CN$1177,$AB133)</f>
        <v>33.6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1073</v>
      </c>
      <c r="B134" s="5"/>
      <c r="C134" s="171">
        <f>AJ228</f>
        <v>0</v>
      </c>
      <c r="D134" s="186">
        <f>HLOOKUP(Troupeau!$J$17,[1]Anx!$D$170:$CN$186,'Calcul éco'!O134)</f>
        <v>66.84</v>
      </c>
      <c r="E134" s="231"/>
      <c r="F134" s="231"/>
      <c r="G134" s="18"/>
      <c r="J134" s="171">
        <f t="shared" si="59"/>
        <v>0</v>
      </c>
      <c r="K134" s="170"/>
      <c r="L134" s="170"/>
      <c r="M134" s="170"/>
      <c r="N134" s="170"/>
      <c r="O134" s="229">
        <v>12</v>
      </c>
      <c r="S134" s="14" t="s">
        <v>1043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1074</v>
      </c>
      <c r="C135" s="171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1044</v>
      </c>
      <c r="T135" s="169">
        <f>$T$127</f>
        <v>58</v>
      </c>
      <c r="U135" s="186">
        <f>HLOOKUP($T$123,[1]Anx!$D$170:$CN$1177,$AB135)</f>
        <v>22.8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1075</v>
      </c>
      <c r="AE135" t="s">
        <v>1061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1076</v>
      </c>
      <c r="B136" s="5"/>
      <c r="C136" s="171">
        <f>AF228</f>
        <v>2.5</v>
      </c>
      <c r="D136" s="186">
        <f>HLOOKUP(Troupeau!$J$17,[1]Anx!$D$170:$CN$186,'Calcul éco'!O136)</f>
        <v>118.55999999999999</v>
      </c>
      <c r="E136" s="5"/>
      <c r="F136" s="5"/>
      <c r="G136" s="18"/>
      <c r="J136" s="171">
        <f t="shared" si="59"/>
        <v>296.39999999999998</v>
      </c>
      <c r="K136" s="170"/>
      <c r="L136" s="170"/>
      <c r="M136" s="170"/>
      <c r="N136" s="170"/>
      <c r="O136" s="229">
        <v>14</v>
      </c>
      <c r="S136" s="14" t="s">
        <v>1077</v>
      </c>
      <c r="T136" s="169">
        <f>$T$127</f>
        <v>58</v>
      </c>
      <c r="U136" s="186">
        <f>HLOOKUP($T$123,[1]Anx!$D$170:$CN$1177,$AB136)</f>
        <v>0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1078</v>
      </c>
      <c r="B137" s="5"/>
      <c r="C137" s="171">
        <f>AG228</f>
        <v>3.5</v>
      </c>
      <c r="D137" s="186">
        <f>HLOOKUP(Troupeau!$J$17,[1]Anx!$D$170:$CN$186,'Calcul éco'!O137)</f>
        <v>150.24</v>
      </c>
      <c r="E137" s="5"/>
      <c r="F137" s="5"/>
      <c r="G137" s="18"/>
      <c r="J137" s="171">
        <f t="shared" si="59"/>
        <v>525.84</v>
      </c>
      <c r="K137" s="170"/>
      <c r="L137" s="170"/>
      <c r="M137" s="170"/>
      <c r="N137" s="170"/>
      <c r="O137" s="229">
        <v>15</v>
      </c>
      <c r="S137" s="32" t="s">
        <v>1079</v>
      </c>
      <c r="T137" s="169">
        <f>Troupeau!B22</f>
        <v>8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1080</v>
      </c>
      <c r="B138" s="5"/>
      <c r="C138" s="171">
        <f>AA228</f>
        <v>0</v>
      </c>
      <c r="D138" s="186">
        <f>HLOOKUP(Troupeau!$J$17,[1]Anx!$D$170:$CN$186,'Calcul éco'!O138)</f>
        <v>147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1081</v>
      </c>
      <c r="AE138" t="s">
        <v>1061</v>
      </c>
      <c r="AF138" s="30">
        <f>B13</f>
        <v>7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1063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1082</v>
      </c>
      <c r="J140" s="170"/>
      <c r="K140" s="170"/>
      <c r="L140" s="170"/>
      <c r="M140" s="170"/>
      <c r="N140" s="170"/>
      <c r="Y140" s="169"/>
      <c r="AE140" t="s">
        <v>1065</v>
      </c>
      <c r="AF140" s="30">
        <f>AF138*AF139</f>
        <v>4760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1083</v>
      </c>
      <c r="J141" s="171">
        <f>X245</f>
        <v>0</v>
      </c>
      <c r="K141" s="170"/>
      <c r="L141" s="170"/>
      <c r="M141" s="170"/>
      <c r="N141" s="170"/>
      <c r="Y141" s="169"/>
      <c r="AD141" s="14" t="s">
        <v>1084</v>
      </c>
      <c r="AE141" t="s">
        <v>1061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1085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1086</v>
      </c>
      <c r="AE144" t="s">
        <v>1061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1087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28695.395882352947</v>
      </c>
      <c r="K145" s="222"/>
      <c r="L145" s="222"/>
      <c r="M145" s="222"/>
      <c r="N145" s="222"/>
      <c r="Y145" s="169"/>
      <c r="AE145" t="s">
        <v>1063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1088</v>
      </c>
      <c r="AF147" s="46">
        <f>AF128+AF131+AF134+AF137+AF140+AF143+AF146</f>
        <v>14360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1089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1090</v>
      </c>
      <c r="B149" s="171">
        <f>B$154</f>
        <v>49.5</v>
      </c>
      <c r="C149" s="186">
        <f>HLOOKUP(Troupeau!J$17,[1]Anx!$D$170:$CN$220,'Calcul éco'!O149)</f>
        <v>107</v>
      </c>
      <c r="D149" s="5"/>
      <c r="G149" s="169"/>
      <c r="J149" s="171">
        <f t="shared" ref="J149:J154" si="65">B149*C149</f>
        <v>5296.5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1091</v>
      </c>
      <c r="B150" s="170">
        <v>1</v>
      </c>
      <c r="C150" s="186">
        <f>HLOOKUP(Troupeau!J$17,[1]Anx!$D$170:$CN$220,'Calcul éco'!O150)</f>
        <v>2000</v>
      </c>
      <c r="D150" s="5"/>
      <c r="G150" s="169"/>
      <c r="J150" s="171">
        <f t="shared" si="65"/>
        <v>2000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1092</v>
      </c>
      <c r="B151" s="170">
        <v>1</v>
      </c>
      <c r="C151" s="186">
        <f>HLOOKUP(Troupeau!J$17,[1]Anx!$D$170:$CN$220,'Calcul éco'!O151)</f>
        <v>5683</v>
      </c>
      <c r="D151" s="5"/>
      <c r="G151" s="169"/>
      <c r="J151" s="171">
        <f t="shared" si="65"/>
        <v>5683</v>
      </c>
      <c r="K151" s="171"/>
      <c r="L151" s="171"/>
      <c r="M151" s="171"/>
      <c r="N151" s="171"/>
      <c r="O151" s="229">
        <v>21</v>
      </c>
      <c r="Y151" t="s">
        <v>1093</v>
      </c>
    </row>
    <row r="152" spans="1:39" x14ac:dyDescent="0.25">
      <c r="A152" t="s">
        <v>1094</v>
      </c>
      <c r="B152" s="171">
        <f>+Scénario!K6</f>
        <v>0</v>
      </c>
      <c r="C152" s="186">
        <f>HLOOKUP(Troupeau!J$17,[1]Anx!$D$170:$CN$220,'Calcul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1095</v>
      </c>
    </row>
    <row r="153" spans="1:39" x14ac:dyDescent="0.25">
      <c r="A153" s="5" t="s">
        <v>1096</v>
      </c>
      <c r="B153" s="170">
        <v>1</v>
      </c>
      <c r="C153" s="186">
        <f>HLOOKUP(Troupeau!J$17,[1]Anx!$D$170:$CN$220,'Calcul éco'!O153)</f>
        <v>10873</v>
      </c>
      <c r="D153" s="5"/>
      <c r="E153" s="5"/>
      <c r="G153" s="169"/>
      <c r="J153" s="171">
        <f t="shared" si="65"/>
        <v>10873</v>
      </c>
      <c r="K153" s="171"/>
      <c r="L153" s="171"/>
      <c r="M153" s="171"/>
      <c r="N153" s="171"/>
      <c r="O153" s="229">
        <v>23</v>
      </c>
      <c r="V153" s="14" t="s">
        <v>1097</v>
      </c>
      <c r="W153" s="171">
        <f>U$228</f>
        <v>6</v>
      </c>
      <c r="X153" t="s">
        <v>51</v>
      </c>
      <c r="Y153" s="171">
        <f>W153-Scénario!K28</f>
        <v>-21</v>
      </c>
      <c r="Z153" s="171">
        <f>Y153-Y156</f>
        <v>-21</v>
      </c>
    </row>
    <row r="154" spans="1:39" x14ac:dyDescent="0.25">
      <c r="A154" t="s">
        <v>1098</v>
      </c>
      <c r="B154" s="171">
        <f>Scénario!K48</f>
        <v>49.5</v>
      </c>
      <c r="C154" s="186">
        <f>HLOOKUP(Troupeau!J$17,[1]Anx!$D$170:$CN$220,'Calcul éco'!O154)</f>
        <v>142</v>
      </c>
      <c r="D154" s="5"/>
      <c r="G154" s="169"/>
      <c r="J154" s="171">
        <f t="shared" si="65"/>
        <v>7029</v>
      </c>
      <c r="K154" s="171"/>
      <c r="L154" s="171"/>
      <c r="M154" s="171"/>
      <c r="N154" s="171"/>
      <c r="O154" s="229">
        <v>24</v>
      </c>
      <c r="V154" s="14" t="s">
        <v>1099</v>
      </c>
      <c r="W154" s="171">
        <f>V$228</f>
        <v>3.5</v>
      </c>
      <c r="X154" t="s">
        <v>51</v>
      </c>
      <c r="Y154" s="171">
        <f>W154-Scénario!K29</f>
        <v>-2.5</v>
      </c>
      <c r="Z154" s="171">
        <f>Y154</f>
        <v>-2.5</v>
      </c>
    </row>
    <row r="155" spans="1:39" x14ac:dyDescent="0.25">
      <c r="A155" s="17" t="s">
        <v>1100</v>
      </c>
      <c r="B155" s="234">
        <f>B154</f>
        <v>49.5</v>
      </c>
      <c r="C155" s="186">
        <f>HLOOKUP(Troupeau!J$17,[1]Anx!$D$170:$CN$220,'Calcul éco'!O155)</f>
        <v>66</v>
      </c>
      <c r="D155" s="86"/>
      <c r="E155" s="17"/>
      <c r="G155" s="169"/>
      <c r="H155" s="17"/>
      <c r="I155" s="234">
        <f>B155*C155</f>
        <v>3267</v>
      </c>
      <c r="O155" s="229">
        <v>25</v>
      </c>
      <c r="V155" s="14" t="s">
        <v>1101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1102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1104</v>
      </c>
      <c r="B158" s="171">
        <f>Z153</f>
        <v>-21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-760.2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1105</v>
      </c>
      <c r="B159" s="171">
        <f t="shared" ref="B159:B161" si="67">Z154</f>
        <v>-2.5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-75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1106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1107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639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317</v>
      </c>
      <c r="S164" s="171">
        <f>'Alim -Surf'!R7</f>
        <v>0</v>
      </c>
      <c r="T164" s="171">
        <f>VLOOKUP($R164,[1]MEP!$A$4:$M$300,13)</f>
        <v>1</v>
      </c>
      <c r="U164" s="171">
        <f>IF($T164&gt;0,$S164,0)</f>
        <v>0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0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0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1108</v>
      </c>
      <c r="B165" s="5"/>
      <c r="C165" s="193" t="s">
        <v>1109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80</v>
      </c>
      <c r="S165" s="171">
        <f>'Alim -Surf'!R8</f>
        <v>0</v>
      </c>
      <c r="T165" s="171">
        <f>VLOOKUP(R165,[1]MEP!$A$4:$M$300,13)</f>
        <v>1</v>
      </c>
      <c r="U165" s="171">
        <f t="shared" ref="U165:U227" si="70">IF($T165&gt;0,$S165,0)</f>
        <v>0</v>
      </c>
      <c r="V165" s="171">
        <f t="shared" ref="V165:V227" si="71">IF($T165&gt;1,$S165,0)</f>
        <v>0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0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0</v>
      </c>
      <c r="AI165" s="171">
        <f t="shared" ref="AI165:AI227" si="79">IF(T165=1,AD165,0)</f>
        <v>0</v>
      </c>
      <c r="AJ165" s="171">
        <f t="shared" ref="AJ165:AJ227" si="80">IF(T165&gt;1,AD165,0)</f>
        <v>0</v>
      </c>
      <c r="AN165" s="32" t="s">
        <v>657</v>
      </c>
      <c r="AO165" s="171">
        <f>SUM(AD164:AD183)</f>
        <v>28.5</v>
      </c>
    </row>
    <row r="166" spans="1:41" x14ac:dyDescent="0.25">
      <c r="A166" s="5" t="s">
        <v>1110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30</v>
      </c>
      <c r="S166" s="171">
        <f>'Alim -Surf'!R9</f>
        <v>0</v>
      </c>
      <c r="T166" s="171">
        <f>VLOOKUP(R166,[1]MEP!$A$4:$M$300,13)</f>
        <v>2</v>
      </c>
      <c r="U166" s="171">
        <f t="shared" si="70"/>
        <v>0</v>
      </c>
      <c r="V166" s="171">
        <f t="shared" si="71"/>
        <v>0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68"/>
        <v>0</v>
      </c>
      <c r="AB166" s="171">
        <f t="shared" si="69"/>
        <v>0</v>
      </c>
      <c r="AC166" s="171">
        <f t="shared" si="73"/>
        <v>0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0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658</v>
      </c>
      <c r="AO166" s="171">
        <f>SUM(AC164:AC183)</f>
        <v>2.5</v>
      </c>
    </row>
    <row r="167" spans="1:41" x14ac:dyDescent="0.25">
      <c r="A167" s="5" t="s">
        <v>1111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130</v>
      </c>
      <c r="S167" s="171">
        <f>'Alim -Surf'!R10</f>
        <v>0</v>
      </c>
      <c r="T167" s="171">
        <f>VLOOKUP(R167,[1]MEP!$A$4:$M$300,13)</f>
        <v>1</v>
      </c>
      <c r="U167" s="171">
        <f t="shared" si="70"/>
        <v>0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68"/>
        <v>0</v>
      </c>
      <c r="AB167" s="171">
        <f t="shared" si="69"/>
        <v>0</v>
      </c>
      <c r="AC167" s="171">
        <f t="shared" si="73"/>
        <v>0</v>
      </c>
      <c r="AD167" s="171">
        <f t="shared" si="74"/>
        <v>0</v>
      </c>
      <c r="AE167" s="171">
        <f t="shared" si="75"/>
        <v>0</v>
      </c>
      <c r="AF167" s="171">
        <f t="shared" si="76"/>
        <v>0</v>
      </c>
      <c r="AG167" s="171">
        <f t="shared" si="77"/>
        <v>0</v>
      </c>
      <c r="AH167" s="171">
        <f t="shared" si="78"/>
        <v>0</v>
      </c>
      <c r="AI167" s="171">
        <f t="shared" si="79"/>
        <v>0</v>
      </c>
      <c r="AJ167" s="171">
        <f t="shared" si="80"/>
        <v>0</v>
      </c>
      <c r="AN167" s="32" t="s">
        <v>659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318</v>
      </c>
      <c r="S168" s="171">
        <f>'Alim -Surf'!R11</f>
        <v>0</v>
      </c>
      <c r="T168" s="171">
        <f>VLOOKUP(R168,[1]MEP!$A$4:$M$300,13)</f>
        <v>1</v>
      </c>
      <c r="U168" s="171">
        <f t="shared" si="70"/>
        <v>0</v>
      </c>
      <c r="V168" s="171">
        <f t="shared" si="71"/>
        <v>0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68"/>
        <v>0</v>
      </c>
      <c r="AB168" s="171">
        <f t="shared" si="69"/>
        <v>0</v>
      </c>
      <c r="AC168" s="171">
        <f t="shared" si="73"/>
        <v>0</v>
      </c>
      <c r="AD168" s="171">
        <f t="shared" si="74"/>
        <v>0</v>
      </c>
      <c r="AE168" s="171">
        <f t="shared" si="75"/>
        <v>0</v>
      </c>
      <c r="AF168" s="171">
        <f t="shared" si="76"/>
        <v>0</v>
      </c>
      <c r="AG168" s="171">
        <f t="shared" si="77"/>
        <v>0</v>
      </c>
      <c r="AH168" s="171">
        <f t="shared" si="78"/>
        <v>0</v>
      </c>
      <c r="AI168" s="171">
        <f t="shared" si="79"/>
        <v>0</v>
      </c>
      <c r="AJ168" s="171">
        <f t="shared" si="80"/>
        <v>0</v>
      </c>
      <c r="AN168" s="32" t="s">
        <v>660</v>
      </c>
      <c r="AO168" s="171">
        <f>SUM(AD186:AD205)</f>
        <v>11.5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319</v>
      </c>
      <c r="S169" s="171">
        <f>'Alim -Surf'!R12</f>
        <v>24.5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24.5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24.5</v>
      </c>
      <c r="AI169" s="171">
        <f t="shared" si="79"/>
        <v>0</v>
      </c>
      <c r="AJ169" s="171">
        <f t="shared" si="80"/>
        <v>0</v>
      </c>
      <c r="AN169" s="32" t="s">
        <v>661</v>
      </c>
      <c r="AO169" s="171">
        <f>SUM(AC186:AC205)</f>
        <v>3.5</v>
      </c>
    </row>
    <row r="170" spans="1:41" x14ac:dyDescent="0.25">
      <c r="A170" s="221" t="s">
        <v>1112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30046.3</v>
      </c>
      <c r="K170" s="62"/>
      <c r="L170" s="62"/>
      <c r="M170" s="62"/>
      <c r="N170" s="62"/>
      <c r="Q170">
        <v>7</v>
      </c>
      <c r="R170" s="171">
        <f>'Alim -Surf'!Q13</f>
        <v>228</v>
      </c>
      <c r="S170" s="171">
        <f>'Alim -Surf'!R13</f>
        <v>4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4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4</v>
      </c>
      <c r="AI170" s="171">
        <f t="shared" si="79"/>
        <v>0</v>
      </c>
      <c r="AJ170" s="171">
        <f t="shared" si="80"/>
        <v>0</v>
      </c>
      <c r="AN170" s="32" t="s">
        <v>662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127</v>
      </c>
      <c r="S171" s="171">
        <f>'Alim -Surf'!R14</f>
        <v>0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0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0</v>
      </c>
      <c r="AI171" s="171">
        <f t="shared" si="79"/>
        <v>0</v>
      </c>
      <c r="AJ171" s="171">
        <f t="shared" si="80"/>
        <v>0</v>
      </c>
      <c r="AN171" s="32" t="s">
        <v>663</v>
      </c>
      <c r="AO171" s="171">
        <f>'Alim -Surf'!O51</f>
        <v>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210</v>
      </c>
      <c r="S172" s="171">
        <f>'Alim -Surf'!R15</f>
        <v>2.5</v>
      </c>
      <c r="T172" s="171">
        <f>VLOOKUP(R172,[1]MEP!$A$4:$M$300,13)</f>
        <v>1</v>
      </c>
      <c r="U172" s="171">
        <f t="shared" si="70"/>
        <v>2.5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1</v>
      </c>
      <c r="AA172" s="171">
        <f t="shared" si="68"/>
        <v>0</v>
      </c>
      <c r="AB172" s="171">
        <f t="shared" si="69"/>
        <v>0</v>
      </c>
      <c r="AC172" s="171">
        <f t="shared" si="73"/>
        <v>2.5</v>
      </c>
      <c r="AD172" s="171">
        <f t="shared" si="74"/>
        <v>0</v>
      </c>
      <c r="AE172" s="171">
        <f t="shared" si="75"/>
        <v>0</v>
      </c>
      <c r="AF172" s="171">
        <f t="shared" si="76"/>
        <v>2.5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1113</v>
      </c>
      <c r="B174" s="222">
        <f>J48-J145-J170</f>
        <v>16034.504117647051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1114</v>
      </c>
      <c r="B175" s="222">
        <f>ROUND(B174/Scénario!K4,0)</f>
        <v>16035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1115</v>
      </c>
      <c r="B177" s="30">
        <f>HLOOKUP(Troupeau!J17,[1]Anx!$D$170:$CO$196,27)</f>
        <v>6000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1116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1117</v>
      </c>
      <c r="B180" s="222">
        <f>B174-B177-B178</f>
        <v>10034.504117647051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1118</v>
      </c>
      <c r="B181" s="222">
        <f>ROUND(B180/Scénario!K4,0)</f>
        <v>10035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30</v>
      </c>
      <c r="S186" s="171">
        <f>'Alim -Surf'!R29</f>
        <v>3.5</v>
      </c>
      <c r="T186" s="171">
        <f>VLOOKUP(R186,[1]MEP!$A$4:$M$300,13)</f>
        <v>2</v>
      </c>
      <c r="U186" s="171">
        <f t="shared" si="70"/>
        <v>3.5</v>
      </c>
      <c r="V186" s="171">
        <f t="shared" si="71"/>
        <v>3.5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68"/>
        <v>0</v>
      </c>
      <c r="AB186" s="171">
        <f t="shared" si="69"/>
        <v>0</v>
      </c>
      <c r="AC186" s="171">
        <f t="shared" si="73"/>
        <v>3.5</v>
      </c>
      <c r="AD186" s="171">
        <f t="shared" si="74"/>
        <v>0</v>
      </c>
      <c r="AE186" s="171">
        <f t="shared" si="75"/>
        <v>0</v>
      </c>
      <c r="AF186" s="171">
        <f t="shared" si="76"/>
        <v>0</v>
      </c>
      <c r="AG186" s="171">
        <f t="shared" si="77"/>
        <v>3.5</v>
      </c>
      <c r="AH186" s="171">
        <f t="shared" si="78"/>
        <v>0</v>
      </c>
      <c r="AI186" s="171">
        <f t="shared" si="79"/>
        <v>0</v>
      </c>
      <c r="AJ186" s="171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228</v>
      </c>
      <c r="S187" s="171">
        <f>'Alim -Surf'!R30</f>
        <v>11.5</v>
      </c>
      <c r="T187" s="171">
        <f>VLOOKUP(R187,[1]MEP!$A$4:$M$300,13)</f>
        <v>0</v>
      </c>
      <c r="U187" s="171">
        <f t="shared" si="70"/>
        <v>0</v>
      </c>
      <c r="V187" s="171">
        <f t="shared" si="71"/>
        <v>0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11.5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11.5</v>
      </c>
      <c r="AI187" s="171">
        <f t="shared" si="79"/>
        <v>0</v>
      </c>
      <c r="AJ187" s="171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80</v>
      </c>
      <c r="S188" s="171">
        <f>'Alim -Surf'!R31</f>
        <v>0</v>
      </c>
      <c r="T188" s="171">
        <f>VLOOKUP(R188,[1]MEP!$A$4:$M$300,13)</f>
        <v>1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317</v>
      </c>
      <c r="S189" s="171">
        <f>'Alim -Surf'!R32</f>
        <v>0</v>
      </c>
      <c r="T189" s="171">
        <f>VLOOKUP(R189,[1]MEP!$A$4:$M$300,13)</f>
        <v>1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0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0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47</v>
      </c>
      <c r="S208" s="171">
        <f>'Alim -Surf'!R51</f>
        <v>4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4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4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664</v>
      </c>
      <c r="R228" s="2"/>
      <c r="S228" s="62">
        <f t="shared" ref="S228" si="81">SUM(S164:S227)</f>
        <v>50</v>
      </c>
      <c r="U228" s="62">
        <f>SUM(U164:U227)</f>
        <v>6</v>
      </c>
      <c r="V228" s="62">
        <f t="shared" ref="V228:W228" si="82">SUM(V164:V227)</f>
        <v>3.5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6</v>
      </c>
      <c r="AD228" s="62">
        <f>SUM(AD164:AD227)</f>
        <v>44</v>
      </c>
      <c r="AE228" s="62">
        <f t="shared" ref="AE228:AJ228" si="84">SUM(AE164:AE227)</f>
        <v>0</v>
      </c>
      <c r="AF228" s="62">
        <f t="shared" si="84"/>
        <v>2.5</v>
      </c>
      <c r="AG228" s="62">
        <f t="shared" si="84"/>
        <v>3.5</v>
      </c>
      <c r="AH228" s="62">
        <f t="shared" si="84"/>
        <v>44</v>
      </c>
      <c r="AI228" s="62">
        <f t="shared" si="84"/>
        <v>0</v>
      </c>
      <c r="AJ228" s="62">
        <f t="shared" si="84"/>
        <v>0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1119</v>
      </c>
      <c r="V232" t="s">
        <v>1120</v>
      </c>
      <c r="W232" t="s">
        <v>1121</v>
      </c>
      <c r="X232" t="s">
        <v>1122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1123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1124</v>
      </c>
      <c r="T234" s="30">
        <f>Protection!AK25</f>
        <v>0</v>
      </c>
      <c r="U234" t="s">
        <v>1125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1126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1127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1128</v>
      </c>
      <c r="AA236" t="s">
        <v>1129</v>
      </c>
      <c r="AB236" t="s">
        <v>1130</v>
      </c>
      <c r="AC236" t="s">
        <v>1131</v>
      </c>
      <c r="AD236" t="s">
        <v>1132</v>
      </c>
      <c r="AE236" t="s">
        <v>1133</v>
      </c>
      <c r="AF236" t="s">
        <v>1134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1136</v>
      </c>
      <c r="T240" s="30">
        <f>IF(Scénario!K87=3,Protection!AE33,0)</f>
        <v>0</v>
      </c>
      <c r="U240" t="s">
        <v>1125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1137</v>
      </c>
      <c r="W244" t="s">
        <v>1068</v>
      </c>
      <c r="X244" t="s">
        <v>959</v>
      </c>
    </row>
    <row r="245" spans="17:31" x14ac:dyDescent="0.25">
      <c r="Q245" s="15"/>
      <c r="S245" s="14" t="s">
        <v>1138</v>
      </c>
      <c r="T245" s="30">
        <f>IF(Scénario!K87=0,0,Protection!AJ8)</f>
        <v>0</v>
      </c>
      <c r="X245" s="171">
        <f>ROUND((([1]Protect!$B$5/[1]Protect!$B$11)+[1]Protect!$B$8)*T245,0)</f>
        <v>0</v>
      </c>
    </row>
    <row r="246" spans="17:31" x14ac:dyDescent="0.25">
      <c r="Q246" s="15"/>
      <c r="S246" s="14" t="s">
        <v>1139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1140</v>
      </c>
      <c r="T247" s="30">
        <f>Travail!F16/8</f>
        <v>0</v>
      </c>
      <c r="W247" s="171">
        <f>[1]Eco!$B$111</f>
        <v>28.3</v>
      </c>
      <c r="X247" s="171">
        <f>T247*W247</f>
        <v>0</v>
      </c>
    </row>
    <row r="248" spans="17:31" x14ac:dyDescent="0.25">
      <c r="W248" s="14" t="s">
        <v>1141</v>
      </c>
      <c r="X248" s="171">
        <f>SUM(X245:X247)</f>
        <v>0</v>
      </c>
    </row>
    <row r="249" spans="17:31" x14ac:dyDescent="0.25">
      <c r="W249" s="14" t="s">
        <v>1417</v>
      </c>
      <c r="X249" s="171">
        <f>ROUND(X246+X247+Protection!AJ5*(([1]Protect!$B$5/[1]Protect!$B$11)+[1]Protect!$B$8),0)</f>
        <v>0</v>
      </c>
      <c r="AB249" t="s">
        <v>1142</v>
      </c>
    </row>
    <row r="250" spans="17:31" x14ac:dyDescent="0.25">
      <c r="AB250" t="s">
        <v>1143</v>
      </c>
    </row>
    <row r="254" spans="17:31" x14ac:dyDescent="0.25">
      <c r="S254" s="40" t="s">
        <v>1144</v>
      </c>
      <c r="T254" s="4">
        <f>IF(Scénario!K53="OL",Scénario!K55*(1/0.15)*Scénario!K56,0)</f>
        <v>0</v>
      </c>
      <c r="Y254" s="40" t="s">
        <v>1145</v>
      </c>
      <c r="Z254">
        <f>IF(Troupeau!B3="OL",Troupeau!B17,0)</f>
        <v>0</v>
      </c>
    </row>
    <row r="255" spans="17:31" x14ac:dyDescent="0.25">
      <c r="U255" t="s">
        <v>1146</v>
      </c>
      <c r="AA255" t="s">
        <v>1146</v>
      </c>
    </row>
    <row r="256" spans="17:31" x14ac:dyDescent="0.25">
      <c r="S256" s="14" t="s">
        <v>1147</v>
      </c>
      <c r="T256" s="30">
        <f>IF(T254&lt;151,1,0)</f>
        <v>1</v>
      </c>
      <c r="U256" s="171">
        <f>IF(T256=0,0,[1]Protect!$B76)</f>
        <v>7500</v>
      </c>
      <c r="Y256" s="14" t="s">
        <v>1148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1149</v>
      </c>
      <c r="T257" s="30">
        <f>IF(AND(150 &lt;T$254,T$254&lt;451),1,0)</f>
        <v>0</v>
      </c>
      <c r="U257" s="171">
        <f>IF(T257=0,0,[1]Protect!$B77)</f>
        <v>0</v>
      </c>
      <c r="Y257" s="14" t="s">
        <v>1150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1151</v>
      </c>
      <c r="T258" s="30">
        <f>IF(AND(540 &lt;T$254,T$254&lt;1201),1,0)</f>
        <v>0</v>
      </c>
      <c r="U258" s="171">
        <f>IF(T258=0,0,[1]Protect!$B78)</f>
        <v>0</v>
      </c>
      <c r="Y258" s="14" t="s">
        <v>1152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1153</v>
      </c>
      <c r="T259" s="30">
        <f>IF(AND(1200&lt;T$254,T$254&lt;1501),1,0)</f>
        <v>0</v>
      </c>
      <c r="U259" s="171">
        <f>IF(T259=0,0,[1]Protect!$B79)</f>
        <v>0</v>
      </c>
      <c r="Y259" s="14" t="s">
        <v>1154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1155</v>
      </c>
      <c r="T260" s="30">
        <f>IF(1500&lt;T$254,1,0)</f>
        <v>0</v>
      </c>
      <c r="U260" s="171">
        <f>IF(T260=0,0,[1]Protect!$B80)</f>
        <v>0</v>
      </c>
      <c r="Y260" s="14" t="s">
        <v>1156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1157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1158</v>
      </c>
      <c r="V264" s="171">
        <f>IF(X$249&lt;SUM(U256:U260),X$249*0.8,SUM(U256:U260))</f>
        <v>0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1159</v>
      </c>
      <c r="V265" s="171">
        <f>IF(X$249&lt;SUM(AA256:AA260),X$249*0.8,SUM(AA256:AA260))</f>
        <v>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1160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1161</v>
      </c>
      <c r="U270" s="33"/>
      <c r="V270" s="33"/>
      <c r="W270" s="33" t="s">
        <v>1162</v>
      </c>
      <c r="X270" s="33" t="s">
        <v>1026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1163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1164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1165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1126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1127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9" zoomScale="110" zoomScaleNormal="110" workbookViewId="0">
      <selection activeCell="C241" sqref="C24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474</v>
      </c>
      <c r="C1" s="253" t="str">
        <f>Scénario!K1</f>
        <v>Z4_BV_T3_s4</v>
      </c>
      <c r="D1" s="253" t="str">
        <f>CONCATENATE(C1,"_corr")</f>
        <v>Z4_BV_T3_s4_corr</v>
      </c>
    </row>
    <row r="2" spans="2:4" x14ac:dyDescent="0.25">
      <c r="B2" s="14" t="s">
        <v>475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478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481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483</v>
      </c>
      <c r="C5" s="175">
        <f>Scénario!K5</f>
        <v>0.5</v>
      </c>
      <c r="D5" s="175">
        <f t="shared" si="0"/>
        <v>0.5</v>
      </c>
    </row>
    <row r="6" spans="2:4" x14ac:dyDescent="0.25">
      <c r="B6" s="14" t="s">
        <v>486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492</v>
      </c>
      <c r="C7" s="175">
        <f>Scénario!K8</f>
        <v>4</v>
      </c>
      <c r="D7" s="175">
        <f t="shared" si="0"/>
        <v>4</v>
      </c>
    </row>
    <row r="8" spans="2:4" x14ac:dyDescent="0.25">
      <c r="B8" s="14" t="s">
        <v>496</v>
      </c>
      <c r="C8" s="175" t="str">
        <f>Scénario!K9</f>
        <v>DS</v>
      </c>
      <c r="D8" s="175" t="str">
        <f t="shared" si="0"/>
        <v>DS</v>
      </c>
    </row>
    <row r="9" spans="2:4" x14ac:dyDescent="0.25">
      <c r="B9" s="14" t="s">
        <v>500</v>
      </c>
      <c r="C9" s="175">
        <f>Scénario!K10</f>
        <v>0</v>
      </c>
      <c r="D9" s="175">
        <f t="shared" si="0"/>
        <v>0</v>
      </c>
    </row>
    <row r="10" spans="2:4" x14ac:dyDescent="0.25">
      <c r="B10" s="14" t="s">
        <v>504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507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485</v>
      </c>
      <c r="C12" s="175" t="str">
        <f>Scénario!K13</f>
        <v>T3</v>
      </c>
      <c r="D12" s="175" t="str">
        <f t="shared" si="0"/>
        <v>T3</v>
      </c>
    </row>
    <row r="13" spans="2:4" x14ac:dyDescent="0.25">
      <c r="B13" s="32" t="s">
        <v>517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520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523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525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526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539</v>
      </c>
      <c r="C18" s="175">
        <f>Scénario!K28</f>
        <v>27</v>
      </c>
      <c r="D18" s="175">
        <f t="shared" si="0"/>
        <v>27</v>
      </c>
    </row>
    <row r="19" spans="2:5" x14ac:dyDescent="0.25">
      <c r="B19" s="14" t="s">
        <v>540</v>
      </c>
      <c r="C19" s="175">
        <f>Scénario!K29</f>
        <v>6</v>
      </c>
      <c r="D19" s="175">
        <f t="shared" si="0"/>
        <v>6</v>
      </c>
    </row>
    <row r="20" spans="2:5" x14ac:dyDescent="0.25">
      <c r="B20" s="14" t="s">
        <v>541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542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1166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561</v>
      </c>
      <c r="C23" s="175">
        <f>Scénario!K54</f>
        <v>0</v>
      </c>
      <c r="D23" s="175">
        <f t="shared" si="0"/>
        <v>0</v>
      </c>
    </row>
    <row r="24" spans="2:5" x14ac:dyDescent="0.25">
      <c r="B24" s="14" t="s">
        <v>562</v>
      </c>
      <c r="C24" s="175">
        <f>Scénario!K55</f>
        <v>0</v>
      </c>
      <c r="D24" s="175">
        <f t="shared" si="0"/>
        <v>0</v>
      </c>
    </row>
    <row r="25" spans="2:5" x14ac:dyDescent="0.25">
      <c r="B25" s="14" t="s">
        <v>563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566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569</v>
      </c>
      <c r="C27" s="175">
        <f>Scénario!K58</f>
        <v>1</v>
      </c>
      <c r="D27" s="175">
        <f t="shared" si="0"/>
        <v>1</v>
      </c>
    </row>
    <row r="28" spans="2:5" x14ac:dyDescent="0.25">
      <c r="B28" s="14" t="s">
        <v>571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557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573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576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578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579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1167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582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583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584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585</v>
      </c>
      <c r="C38" s="175">
        <f>Scénario!K70</f>
        <v>0</v>
      </c>
      <c r="D38" s="175">
        <f t="shared" si="0"/>
        <v>0</v>
      </c>
      <c r="E38" s="14"/>
    </row>
    <row r="39" spans="2:5" x14ac:dyDescent="0.25">
      <c r="B39" s="14" t="s">
        <v>586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587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588</v>
      </c>
      <c r="C41" s="175">
        <f>Scénario!K73</f>
        <v>0</v>
      </c>
      <c r="D41" s="175">
        <f t="shared" si="0"/>
        <v>0</v>
      </c>
      <c r="E41" s="14"/>
    </row>
    <row r="42" spans="2:5" x14ac:dyDescent="0.25">
      <c r="B42" s="14" t="s">
        <v>1168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593</v>
      </c>
      <c r="C43" s="175">
        <f>Scénario!K76</f>
        <v>0</v>
      </c>
      <c r="D43" s="175">
        <f t="shared" si="0"/>
        <v>0</v>
      </c>
      <c r="E43" s="14"/>
    </row>
    <row r="44" spans="2:5" x14ac:dyDescent="0.25">
      <c r="B44" s="14" t="s">
        <v>595</v>
      </c>
      <c r="C44" s="175">
        <f>Scénario!K77</f>
        <v>0</v>
      </c>
      <c r="D44" s="175">
        <f t="shared" si="0"/>
        <v>0</v>
      </c>
      <c r="E44" s="14"/>
    </row>
    <row r="45" spans="2:5" x14ac:dyDescent="0.25">
      <c r="B45" s="14" t="s">
        <v>1169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598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599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1170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602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605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615</v>
      </c>
      <c r="C51" s="175">
        <f>Scénario!K87</f>
        <v>4</v>
      </c>
      <c r="D51" s="175">
        <f t="shared" si="0"/>
        <v>4</v>
      </c>
      <c r="E51" s="14"/>
    </row>
    <row r="52" spans="1:132" x14ac:dyDescent="0.25">
      <c r="B52" s="19" t="s">
        <v>592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603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620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620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601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1171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622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623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633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635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1172</v>
      </c>
      <c r="B62" s="14" t="s">
        <v>1173</v>
      </c>
      <c r="C62" s="171" t="str">
        <f>Scénario!K12</f>
        <v>BV</v>
      </c>
      <c r="D62" s="171" t="str">
        <f>C62</f>
        <v>BV</v>
      </c>
      <c r="AS62" s="40" t="s">
        <v>559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573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580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1174</v>
      </c>
      <c r="C63" s="171">
        <f>IF(Troupeau!B3="OL",Troupeau!B17,0)</f>
        <v>0</v>
      </c>
      <c r="D63" s="254">
        <f>ROUND(C63*$D$82/$C$82,3)</f>
        <v>0</v>
      </c>
      <c r="F63" s="255" t="s">
        <v>1175</v>
      </c>
      <c r="G63">
        <f>D82/C82</f>
        <v>0</v>
      </c>
      <c r="AT63" s="2" t="s">
        <v>767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767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767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1176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1177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1178</v>
      </c>
      <c r="C65" s="171">
        <f>IF(Troupeau!B3="BV",Troupeau!B17,0)+IF(Troupeau!C3="BV",Troupeau!C17,0)</f>
        <v>58</v>
      </c>
      <c r="D65" s="254">
        <f t="shared" si="1"/>
        <v>0</v>
      </c>
      <c r="F65" s="256" t="s">
        <v>1179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1180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1181</v>
      </c>
      <c r="C67" s="171">
        <f>CdTrp1!AA49</f>
        <v>62.956583333333327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1182</v>
      </c>
      <c r="C68" s="171">
        <f>CdTrp2!AA49</f>
        <v>0</v>
      </c>
      <c r="D68" s="254">
        <f>ROUND(C68*$D$82/$C$82,3)</f>
        <v>0</v>
      </c>
      <c r="AT68" s="185" t="str">
        <f t="shared" si="2"/>
        <v>broutard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1183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1184</v>
      </c>
      <c r="C70" s="171">
        <f>SUM(C67:C69)</f>
        <v>62.956583333333327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1185</v>
      </c>
      <c r="C71" s="171">
        <f>Scénario!K33</f>
        <v>3.5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1186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1187</v>
      </c>
      <c r="C73" s="171">
        <f>'Calcul éco'!$AC$228</f>
        <v>6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1188</v>
      </c>
      <c r="C74" s="171">
        <f>C71+C73</f>
        <v>9.5</v>
      </c>
      <c r="D74" s="254">
        <f t="shared" si="3"/>
        <v>0</v>
      </c>
      <c r="AT74" s="2" t="s">
        <v>771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1189</v>
      </c>
      <c r="C75" s="171">
        <f>'Alim -Surf'!$O$7+'Alim -Surf'!$O$29-C72-C73</f>
        <v>40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1190</v>
      </c>
      <c r="C76" s="171">
        <f>'Calcul éco'!AO166</f>
        <v>2.5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1191</v>
      </c>
      <c r="C77" s="171">
        <f>'Calcul éco'!AO169</f>
        <v>3.5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1192</v>
      </c>
      <c r="C78" s="171">
        <f>'Calcul éco'!AO165</f>
        <v>28.5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1193</v>
      </c>
      <c r="C79" s="171">
        <f>'Calcul éco'!AO168</f>
        <v>11.5</v>
      </c>
      <c r="D79" s="254">
        <f t="shared" si="3"/>
        <v>0</v>
      </c>
      <c r="AT79" s="185" t="str">
        <f t="shared" si="4"/>
        <v>broutard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1194</v>
      </c>
      <c r="C80" s="171">
        <f>'Calcul éco'!AO171</f>
        <v>4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1195</v>
      </c>
      <c r="C81" s="171">
        <f>C74+C75</f>
        <v>49.5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1196</v>
      </c>
      <c r="C82" s="171">
        <f>C81+C80</f>
        <v>53.5</v>
      </c>
      <c r="D82" s="80"/>
      <c r="E82" s="85" t="s">
        <v>1197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1198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1199</v>
      </c>
      <c r="C84" s="171">
        <f>ROUND(C70/C82,3)</f>
        <v>1.177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1200</v>
      </c>
      <c r="B85" s="14" t="s">
        <v>1201</v>
      </c>
      <c r="C85" s="171">
        <f>'Calcul éco'!$U$228</f>
        <v>6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1202</v>
      </c>
      <c r="C86" s="171">
        <f>'Calcul éco'!$V$228</f>
        <v>3.5</v>
      </c>
      <c r="D86" s="257">
        <f t="shared" ref="D86:D97" si="14">ROUND(C86*$D$82/$C$82,3)</f>
        <v>0</v>
      </c>
      <c r="AT86" s="187" t="s">
        <v>780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780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780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1203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781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554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629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543</v>
      </c>
      <c r="C89" s="171">
        <f>Scénario!K32</f>
        <v>4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630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1204</v>
      </c>
      <c r="B90" s="14" t="s">
        <v>305</v>
      </c>
      <c r="C90" s="171">
        <f>Scénario!K34</f>
        <v>1.5</v>
      </c>
      <c r="D90" s="257">
        <f t="shared" si="14"/>
        <v>0</v>
      </c>
      <c r="G90" s="85" t="s">
        <v>1205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546</v>
      </c>
      <c r="C91" s="171">
        <f>Scénario!K35</f>
        <v>1</v>
      </c>
      <c r="D91" s="257">
        <f t="shared" si="14"/>
        <v>0</v>
      </c>
      <c r="AT91" s="185" t="str">
        <f>CdTrp1!A19</f>
        <v>broutard</v>
      </c>
      <c r="AU91" s="188" t="str">
        <f>Scénario!K100</f>
        <v>fort</v>
      </c>
      <c r="AV91" s="171">
        <f t="shared" si="15"/>
        <v>2</v>
      </c>
      <c r="AW91" s="171">
        <f t="shared" si="15"/>
        <v>2</v>
      </c>
      <c r="AX91" s="171">
        <f t="shared" si="15"/>
        <v>2</v>
      </c>
      <c r="AY91" s="171">
        <f t="shared" si="15"/>
        <v>2</v>
      </c>
      <c r="AZ91" s="171">
        <f t="shared" si="15"/>
        <v>2</v>
      </c>
      <c r="BA91" s="171">
        <f t="shared" si="15"/>
        <v>2</v>
      </c>
      <c r="BB91" s="171">
        <f t="shared" si="15"/>
        <v>2</v>
      </c>
      <c r="BC91" s="171">
        <f t="shared" si="15"/>
        <v>2</v>
      </c>
      <c r="BD91" s="171">
        <f t="shared" si="15"/>
        <v>2</v>
      </c>
      <c r="BE91" s="171">
        <f t="shared" si="15"/>
        <v>2</v>
      </c>
      <c r="BF91" s="171">
        <f t="shared" si="15"/>
        <v>2</v>
      </c>
      <c r="BG91" s="171">
        <f t="shared" si="15"/>
        <v>2</v>
      </c>
      <c r="BH91" s="171">
        <f t="shared" si="15"/>
        <v>2</v>
      </c>
      <c r="BI91" s="171">
        <f t="shared" si="15"/>
        <v>2</v>
      </c>
      <c r="BJ91" s="171">
        <f t="shared" si="15"/>
        <v>2</v>
      </c>
      <c r="BK91" s="171">
        <f t="shared" si="15"/>
        <v>2</v>
      </c>
      <c r="BL91" s="171">
        <f t="shared" si="16"/>
        <v>2</v>
      </c>
      <c r="BM91" s="171">
        <f t="shared" si="16"/>
        <v>2</v>
      </c>
      <c r="BN91" s="171">
        <f t="shared" si="16"/>
        <v>2</v>
      </c>
      <c r="BO91" s="171">
        <f t="shared" si="16"/>
        <v>2</v>
      </c>
      <c r="BP91" s="171">
        <f t="shared" si="16"/>
        <v>2</v>
      </c>
      <c r="BQ91" s="171">
        <f t="shared" si="16"/>
        <v>2</v>
      </c>
      <c r="BR91" s="171">
        <f t="shared" si="16"/>
        <v>2</v>
      </c>
      <c r="BS91" s="171">
        <f t="shared" si="16"/>
        <v>2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547</v>
      </c>
      <c r="C92" s="171">
        <f>Scénario!K36</f>
        <v>1</v>
      </c>
      <c r="D92" s="257">
        <f t="shared" si="14"/>
        <v>0</v>
      </c>
      <c r="G92" s="2" t="s">
        <v>1206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548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549</v>
      </c>
      <c r="C94" s="171">
        <f>Scénario!K38</f>
        <v>0</v>
      </c>
      <c r="D94" s="257">
        <f t="shared" si="14"/>
        <v>0</v>
      </c>
      <c r="F94" s="14" t="s">
        <v>907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1207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2</v>
      </c>
      <c r="T95" s="30">
        <f>CdTrp1!N77</f>
        <v>2</v>
      </c>
      <c r="U95" s="30">
        <f>CdTrp1!O77</f>
        <v>2</v>
      </c>
      <c r="V95" s="30">
        <f>CdTrp1!P77</f>
        <v>2</v>
      </c>
      <c r="W95" s="30">
        <f>CdTrp1!Q77</f>
        <v>2</v>
      </c>
      <c r="X95" s="30">
        <f>CdTrp1!R77</f>
        <v>2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1</v>
      </c>
      <c r="AD95" s="30">
        <f>CdTrp1!X77</f>
        <v>1</v>
      </c>
      <c r="AE95" s="30">
        <f>CdTrp1!Y77</f>
        <v>1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550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1208</v>
      </c>
      <c r="B97" s="14" t="s">
        <v>1209</v>
      </c>
      <c r="C97" s="171">
        <f>C90+C75+C73</f>
        <v>47.5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0</v>
      </c>
      <c r="AT97" s="2" t="s">
        <v>742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742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742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1210</v>
      </c>
      <c r="B98" s="14" t="s">
        <v>1211</v>
      </c>
      <c r="C98" s="171">
        <f>MAX(H129:AE129)</f>
        <v>3</v>
      </c>
      <c r="D98" s="171">
        <f>C98</f>
        <v>3</v>
      </c>
      <c r="F98" s="14"/>
      <c r="G98" s="258" t="str">
        <f>CdTrp1!A92</f>
        <v>broutard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2</v>
      </c>
      <c r="BC98" s="171">
        <f>IF(CdTrp1!I52=1,3,IF(CdTrp1!I52=0.5,2,IF(CdTrp1!I52=0,1,0)))</f>
        <v>2</v>
      </c>
      <c r="BD98" s="171">
        <f>IF(CdTrp1!J52=1,3,IF(CdTrp1!J52=0.5,2,IF(CdTrp1!J52=0,1,0)))</f>
        <v>1</v>
      </c>
      <c r="BE98" s="171">
        <f>IF(CdTrp1!K52=1,3,IF(CdTrp1!K52=0.5,2,IF(CdTrp1!K52=0,1,0)))</f>
        <v>1</v>
      </c>
      <c r="BF98" s="171">
        <f>IF(CdTrp1!L52=1,3,IF(CdTrp1!L52=0.5,2,IF(CdTrp1!L52=0,1,0)))</f>
        <v>1</v>
      </c>
      <c r="BG98" s="171">
        <f>IF(CdTrp1!M52=1,3,IF(CdTrp1!M52=0.5,2,IF(CdTrp1!M52=0,1,0)))</f>
        <v>1</v>
      </c>
      <c r="BH98" s="171">
        <f>IF(CdTrp1!N52=1,3,IF(CdTrp1!N52=0.5,2,IF(CdTrp1!N52=0,1,0)))</f>
        <v>1</v>
      </c>
      <c r="BI98" s="171">
        <f>IF(CdTrp1!O52=1,3,IF(CdTrp1!O52=0.5,2,IF(CdTrp1!O52=0,1,0)))</f>
        <v>1</v>
      </c>
      <c r="BJ98" s="171">
        <f>IF(CdTrp1!P52=1,3,IF(CdTrp1!P52=0.5,2,IF(CdTrp1!P52=0,1,0)))</f>
        <v>1</v>
      </c>
      <c r="BK98" s="171">
        <f>IF(CdTrp1!Q52=1,3,IF(CdTrp1!Q52=0.5,2,IF(CdTrp1!Q52=0,1,0)))</f>
        <v>1</v>
      </c>
      <c r="BL98" s="171">
        <f>IF(CdTrp1!R52=1,3,IF(CdTrp1!R52=0.5,2,IF(CdTrp1!R52=0,1,0)))</f>
        <v>1</v>
      </c>
      <c r="BM98" s="171">
        <f>IF(CdTrp1!S52=1,3,IF(CdTrp1!S52=0.5,2,IF(CdTrp1!S52=0,1,0)))</f>
        <v>1</v>
      </c>
      <c r="BN98" s="171">
        <f>IF(CdTrp1!T52=1,3,IF(CdTrp1!T52=0.5,2,IF(CdTrp1!T52=0,1,0)))</f>
        <v>2</v>
      </c>
      <c r="BO98" s="171">
        <f>IF(CdTrp1!U52=1,3,IF(CdTrp1!U52=0.5,2,IF(CdTrp1!U52=0,1,0)))</f>
        <v>2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789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1212</v>
      </c>
      <c r="B99" s="14" t="s">
        <v>1213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1</v>
      </c>
      <c r="AW99" s="171">
        <f>IF(CdTrp1!C53=1,3,IF(CdTrp1!C53=0.5,2,IF(CdTrp1!C53=0,1,0)))</f>
        <v>1</v>
      </c>
      <c r="AX99" s="171">
        <f>IF(CdTrp1!D53=1,3,IF(CdTrp1!D53=0.5,2,IF(CdTrp1!D53=0,1,0)))</f>
        <v>1</v>
      </c>
      <c r="AY99" s="171">
        <f>IF(CdTrp1!E53=1,3,IF(CdTrp1!E53=0.5,2,IF(CdTrp1!E53=0,1,0)))</f>
        <v>1</v>
      </c>
      <c r="AZ99" s="171">
        <f>IF(CdTrp1!F53=1,3,IF(CdTrp1!F53=0.5,2,IF(CdTrp1!F53=0,1,0)))</f>
        <v>1</v>
      </c>
      <c r="BA99" s="171">
        <f>IF(CdTrp1!G53=1,3,IF(CdTrp1!G53=0.5,2,IF(CdTrp1!G53=0,1,0)))</f>
        <v>1</v>
      </c>
      <c r="BB99" s="171">
        <f>IF(CdTrp1!H53=1,3,IF(CdTrp1!H53=0.5,2,IF(CdTrp1!H53=0,1,0)))</f>
        <v>1</v>
      </c>
      <c r="BC99" s="171">
        <f>IF(CdTrp1!I53=1,3,IF(CdTrp1!I53=0.5,2,IF(CdTrp1!I53=0,1,0)))</f>
        <v>1</v>
      </c>
      <c r="BD99" s="171">
        <f>IF(CdTrp1!J53=1,3,IF(CdTrp1!J53=0.5,2,IF(CdTrp1!J53=0,1,0)))</f>
        <v>1</v>
      </c>
      <c r="BE99" s="171">
        <f>IF(CdTrp1!K53=1,3,IF(CdTrp1!K53=0.5,2,IF(CdTrp1!K53=0,1,0)))</f>
        <v>1</v>
      </c>
      <c r="BF99" s="171">
        <f>IF(CdTrp1!L53=1,3,IF(CdTrp1!L53=0.5,2,IF(CdTrp1!L53=0,1,0)))</f>
        <v>1</v>
      </c>
      <c r="BG99" s="171">
        <f>IF(CdTrp1!M53=1,3,IF(CdTrp1!M53=0.5,2,IF(CdTrp1!M53=0,1,0)))</f>
        <v>1</v>
      </c>
      <c r="BH99" s="171">
        <f>IF(CdTrp1!N53=1,3,IF(CdTrp1!N53=0.5,2,IF(CdTrp1!N53=0,1,0)))</f>
        <v>1</v>
      </c>
      <c r="BI99" s="171">
        <f>IF(CdTrp1!O53=1,3,IF(CdTrp1!O53=0.5,2,IF(CdTrp1!O53=0,1,0)))</f>
        <v>1</v>
      </c>
      <c r="BJ99" s="171">
        <f>IF(CdTrp1!P53=1,3,IF(CdTrp1!P53=0.5,2,IF(CdTrp1!P53=0,1,0)))</f>
        <v>1</v>
      </c>
      <c r="BK99" s="171">
        <f>IF(CdTrp1!Q53=1,3,IF(CdTrp1!Q53=0.5,2,IF(CdTrp1!Q53=0,1,0)))</f>
        <v>1</v>
      </c>
      <c r="BL99" s="171">
        <f>IF(CdTrp1!R53=1,3,IF(CdTrp1!R53=0.5,2,IF(CdTrp1!R53=0,1,0)))</f>
        <v>1</v>
      </c>
      <c r="BM99" s="171">
        <f>IF(CdTrp1!S53=1,3,IF(CdTrp1!S53=0.5,2,IF(CdTrp1!S53=0,1,0)))</f>
        <v>1</v>
      </c>
      <c r="BN99" s="171">
        <f>IF(CdTrp1!T53=1,3,IF(CdTrp1!T53=0.5,2,IF(CdTrp1!T53=0,1,0)))</f>
        <v>1</v>
      </c>
      <c r="BO99" s="171">
        <f>IF(CdTrp1!U53=1,3,IF(CdTrp1!U53=0.5,2,IF(CdTrp1!U53=0,1,0)))</f>
        <v>1</v>
      </c>
      <c r="BP99" s="171">
        <f>IF(CdTrp1!V53=1,3,IF(CdTrp1!V53=0.5,2,IF(CdTrp1!V53=0,1,0)))</f>
        <v>1</v>
      </c>
      <c r="BQ99" s="171">
        <f>IF(CdTrp1!W53=1,3,IF(CdTrp1!W53=0.5,2,IF(CdTrp1!W53=0,1,0)))</f>
        <v>1</v>
      </c>
      <c r="BR99" s="171">
        <f>IF(CdTrp1!X53=1,3,IF(CdTrp1!X53=0.5,2,IF(CdTrp1!X53=0,1,0)))</f>
        <v>1</v>
      </c>
      <c r="BS99" s="171">
        <f>IF(CdTrp1!Y53=1,3,IF(CdTrp1!Y53=0.5,2,IF(CdTrp1!Y53=0,1,0)))</f>
        <v>1</v>
      </c>
      <c r="BU99">
        <v>2</v>
      </c>
      <c r="BV99" t="s">
        <v>793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1214</v>
      </c>
      <c r="B100" s="14" t="s">
        <v>1215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0</v>
      </c>
      <c r="AW100" s="171">
        <f>IF(CdTrp1!C54=1,3,IF(CdTrp1!C54=0.5,2,IF(CdTrp1!C54=0,1,0)))</f>
        <v>0</v>
      </c>
      <c r="AX100" s="171">
        <f>IF(CdTrp1!D54=1,3,IF(CdTrp1!D54=0.5,2,IF(CdTrp1!D54=0,1,0)))</f>
        <v>0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3</v>
      </c>
      <c r="BI100" s="171">
        <f>IF(CdTrp1!O54=1,3,IF(CdTrp1!O54=0.5,2,IF(CdTrp1!O54=0,1,0)))</f>
        <v>3</v>
      </c>
      <c r="BJ100" s="171">
        <f>IF(CdTrp1!P54=1,3,IF(CdTrp1!P54=0.5,2,IF(CdTrp1!P54=0,1,0)))</f>
        <v>3</v>
      </c>
      <c r="BK100" s="171">
        <f>IF(CdTrp1!Q54=1,3,IF(CdTrp1!Q54=0.5,2,IF(CdTrp1!Q54=0,1,0)))</f>
        <v>3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0</v>
      </c>
      <c r="BS100" s="171">
        <f>IF(CdTrp1!Y54=1,3,IF(CdTrp1!Y54=0.5,2,IF(CdTrp1!Y54=0,1,0)))</f>
        <v>0</v>
      </c>
      <c r="BU100">
        <v>1</v>
      </c>
      <c r="BV100" t="s">
        <v>794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1216</v>
      </c>
      <c r="C101" s="171">
        <f>MAX(H132:AE132)</f>
        <v>3</v>
      </c>
      <c r="D101" s="171">
        <f t="shared" si="25"/>
        <v>3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0</v>
      </c>
      <c r="AW101" s="171">
        <f>IF(CdTrp1!C55=1,3,IF(CdTrp1!C55=0.5,2,IF(CdTrp1!C55=0,1,0)))</f>
        <v>0</v>
      </c>
      <c r="AX101" s="171">
        <f>IF(CdTrp1!D55=1,3,IF(CdTrp1!D55=0.5,2,IF(CdTrp1!D55=0,1,0)))</f>
        <v>0</v>
      </c>
      <c r="AY101" s="171">
        <f>IF(CdTrp1!E55=1,3,IF(CdTrp1!E55=0.5,2,IF(CdTrp1!E55=0,1,0)))</f>
        <v>0</v>
      </c>
      <c r="AZ101" s="171">
        <f>IF(CdTrp1!F55=1,3,IF(CdTrp1!F55=0.5,2,IF(CdTrp1!F55=0,1,0)))</f>
        <v>1</v>
      </c>
      <c r="BA101" s="171">
        <f>IF(CdTrp1!G55=1,3,IF(CdTrp1!G55=0.5,2,IF(CdTrp1!G55=0,1,0)))</f>
        <v>1</v>
      </c>
      <c r="BB101" s="171">
        <f>IF(CdTrp1!H55=1,3,IF(CdTrp1!H55=0.5,2,IF(CdTrp1!H55=0,1,0)))</f>
        <v>1</v>
      </c>
      <c r="BC101" s="171">
        <f>IF(CdTrp1!I55=1,3,IF(CdTrp1!I55=0.5,2,IF(CdTrp1!I55=0,1,0)))</f>
        <v>1</v>
      </c>
      <c r="BD101" s="171">
        <f>IF(CdTrp1!J55=1,3,IF(CdTrp1!J55=0.5,2,IF(CdTrp1!J55=0,1,0)))</f>
        <v>1</v>
      </c>
      <c r="BE101" s="171">
        <f>IF(CdTrp1!K55=1,3,IF(CdTrp1!K55=0.5,2,IF(CdTrp1!K55=0,1,0)))</f>
        <v>1</v>
      </c>
      <c r="BF101" s="171">
        <f>IF(CdTrp1!L55=1,3,IF(CdTrp1!L55=0.5,2,IF(CdTrp1!L55=0,1,0)))</f>
        <v>1</v>
      </c>
      <c r="BG101" s="171">
        <f>IF(CdTrp1!M55=1,3,IF(CdTrp1!M55=0.5,2,IF(CdTrp1!M55=0,1,0)))</f>
        <v>1</v>
      </c>
      <c r="BH101" s="171">
        <f>IF(CdTrp1!N55=1,3,IF(CdTrp1!N55=0.5,2,IF(CdTrp1!N55=0,1,0)))</f>
        <v>1</v>
      </c>
      <c r="BI101" s="171">
        <f>IF(CdTrp1!O55=1,3,IF(CdTrp1!O55=0.5,2,IF(CdTrp1!O55=0,1,0)))</f>
        <v>1</v>
      </c>
      <c r="BJ101" s="171">
        <f>IF(CdTrp1!P55=1,3,IF(CdTrp1!P55=0.5,2,IF(CdTrp1!P55=0,1,0)))</f>
        <v>1</v>
      </c>
      <c r="BK101" s="171">
        <f>IF(CdTrp1!Q55=1,3,IF(CdTrp1!Q55=0.5,2,IF(CdTrp1!Q55=0,1,0)))</f>
        <v>1</v>
      </c>
      <c r="BL101" s="171">
        <f>IF(CdTrp1!R55=1,3,IF(CdTrp1!R55=0.5,2,IF(CdTrp1!R55=0,1,0)))</f>
        <v>1</v>
      </c>
      <c r="BM101" s="171">
        <f>IF(CdTrp1!S55=1,3,IF(CdTrp1!S55=0.5,2,IF(CdTrp1!S55=0,1,0)))</f>
        <v>1</v>
      </c>
      <c r="BN101" s="171">
        <f>IF(CdTrp1!T55=1,3,IF(CdTrp1!T55=0.5,2,IF(CdTrp1!T55=0,1,0)))</f>
        <v>1</v>
      </c>
      <c r="BO101" s="171">
        <f>IF(CdTrp1!U55=1,3,IF(CdTrp1!U55=0.5,2,IF(CdTrp1!U55=0,1,0)))</f>
        <v>1</v>
      </c>
      <c r="BP101" s="171">
        <f>IF(CdTrp1!V55=1,3,IF(CdTrp1!V55=0.5,2,IF(CdTrp1!V55=0,1,0)))</f>
        <v>1</v>
      </c>
      <c r="BQ101" s="171">
        <f>IF(CdTrp1!W55=1,3,IF(CdTrp1!W55=0.5,2,IF(CdTrp1!W55=0,1,0)))</f>
        <v>1</v>
      </c>
      <c r="BR101" s="171">
        <f>IF(CdTrp1!X55=1,3,IF(CdTrp1!X55=0.5,2,IF(CdTrp1!X55=0,1,0)))</f>
        <v>1</v>
      </c>
      <c r="BS101" s="171">
        <f>IF(CdTrp1!Y55=1,3,IF(CdTrp1!Y55=0.5,2,IF(CdTrp1!Y55=0,1,0)))</f>
        <v>0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1217</v>
      </c>
      <c r="C102" s="171">
        <f>(24-COUNTIF(H129:AE129,0))/2</f>
        <v>12</v>
      </c>
      <c r="D102" s="171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broutard</v>
      </c>
      <c r="AU102" s="32"/>
      <c r="AV102" s="171">
        <f>IF(CdTrp1!B56=1,3,IF(CdTrp1!B56=0.5,2,IF(CdTrp1!B56=0,1,0)))</f>
        <v>3</v>
      </c>
      <c r="AW102" s="171">
        <f>IF(CdTrp1!C56=1,3,IF(CdTrp1!C56=0.5,2,IF(CdTrp1!C56=0,1,0)))</f>
        <v>3</v>
      </c>
      <c r="AX102" s="171">
        <f>IF(CdTrp1!D56=1,3,IF(CdTrp1!D56=0.5,2,IF(CdTrp1!D56=0,1,0)))</f>
        <v>3</v>
      </c>
      <c r="AY102" s="171">
        <f>IF(CdTrp1!E56=1,3,IF(CdTrp1!E56=0.5,2,IF(CdTrp1!E56=0,1,0)))</f>
        <v>3</v>
      </c>
      <c r="AZ102" s="171">
        <f>IF(CdTrp1!F56=1,3,IF(CdTrp1!F56=0.5,2,IF(CdTrp1!F56=0,1,0)))</f>
        <v>3</v>
      </c>
      <c r="BA102" s="171">
        <f>IF(CdTrp1!G56=1,3,IF(CdTrp1!G56=0.5,2,IF(CdTrp1!G56=0,1,0)))</f>
        <v>3</v>
      </c>
      <c r="BB102" s="171">
        <f>IF(CdTrp1!H56=1,3,IF(CdTrp1!H56=0.5,2,IF(CdTrp1!H56=0,1,0)))</f>
        <v>3</v>
      </c>
      <c r="BC102" s="171">
        <f>IF(CdTrp1!I56=1,3,IF(CdTrp1!I56=0.5,2,IF(CdTrp1!I56=0,1,0)))</f>
        <v>3</v>
      </c>
      <c r="BD102" s="171">
        <f>IF(CdTrp1!J56=1,3,IF(CdTrp1!J56=0.5,2,IF(CdTrp1!J56=0,1,0)))</f>
        <v>1</v>
      </c>
      <c r="BE102" s="171">
        <f>IF(CdTrp1!K56=1,3,IF(CdTrp1!K56=0.5,2,IF(CdTrp1!K56=0,1,0)))</f>
        <v>1</v>
      </c>
      <c r="BF102" s="171">
        <f>IF(CdTrp1!L56=1,3,IF(CdTrp1!L56=0.5,2,IF(CdTrp1!L56=0,1,0)))</f>
        <v>1</v>
      </c>
      <c r="BG102" s="171">
        <f>IF(CdTrp1!M56=1,3,IF(CdTrp1!M56=0.5,2,IF(CdTrp1!M56=0,1,0)))</f>
        <v>1</v>
      </c>
      <c r="BH102" s="171">
        <f>IF(CdTrp1!N56=1,3,IF(CdTrp1!N56=0.5,2,IF(CdTrp1!N56=0,1,0)))</f>
        <v>1</v>
      </c>
      <c r="BI102" s="171">
        <f>IF(CdTrp1!O56=1,3,IF(CdTrp1!O56=0.5,2,IF(CdTrp1!O56=0,1,0)))</f>
        <v>1</v>
      </c>
      <c r="BJ102" s="171">
        <f>IF(CdTrp1!P56=1,3,IF(CdTrp1!P56=0.5,2,IF(CdTrp1!P56=0,1,0)))</f>
        <v>1</v>
      </c>
      <c r="BK102" s="171">
        <f>IF(CdTrp1!Q56=1,3,IF(CdTrp1!Q56=0.5,2,IF(CdTrp1!Q56=0,1,0)))</f>
        <v>1</v>
      </c>
      <c r="BL102" s="171">
        <f>IF(CdTrp1!R56=1,3,IF(CdTrp1!R56=0.5,2,IF(CdTrp1!R56=0,1,0)))</f>
        <v>1</v>
      </c>
      <c r="BM102" s="171">
        <f>IF(CdTrp1!S56=1,3,IF(CdTrp1!S56=0.5,2,IF(CdTrp1!S56=0,1,0)))</f>
        <v>1</v>
      </c>
      <c r="BN102" s="171">
        <f>IF(CdTrp1!T56=1,3,IF(CdTrp1!T56=0.5,2,IF(CdTrp1!T56=0,1,0)))</f>
        <v>3</v>
      </c>
      <c r="BO102" s="171">
        <f>IF(CdTrp1!U56=1,3,IF(CdTrp1!U56=0.5,2,IF(CdTrp1!U56=0,1,0)))</f>
        <v>3</v>
      </c>
      <c r="BP102" s="171">
        <f>IF(CdTrp1!V56=1,3,IF(CdTrp1!V56=0.5,2,IF(CdTrp1!V56=0,1,0)))</f>
        <v>3</v>
      </c>
      <c r="BQ102" s="171">
        <f>IF(CdTrp1!W56=1,3,IF(CdTrp1!W56=0.5,2,IF(CdTrp1!W56=0,1,0)))</f>
        <v>3</v>
      </c>
      <c r="BR102" s="171">
        <f>IF(CdTrp1!X56=1,3,IF(CdTrp1!X56=0.5,2,IF(CdTrp1!X56=0,1,0)))</f>
        <v>3</v>
      </c>
      <c r="BS102" s="171">
        <f>IF(CdTrp1!Y56=1,3,IF(CdTrp1!Y56=0.5,2,IF(CdTrp1!Y56=0,1,0)))</f>
        <v>3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1218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1219</v>
      </c>
      <c r="C104" s="171">
        <f>(24-COUNTIF(H131:AE131,0))/2</f>
        <v>0</v>
      </c>
      <c r="D104" s="171">
        <f t="shared" si="25"/>
        <v>0</v>
      </c>
      <c r="F104" s="14" t="s">
        <v>923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1220</v>
      </c>
      <c r="C105" s="171">
        <f>(24-COUNTIF(H132:AE132,0))/2</f>
        <v>12</v>
      </c>
      <c r="D105" s="171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1221</v>
      </c>
      <c r="C106" s="171">
        <f>SUM(H129:AE129)/2</f>
        <v>28.5</v>
      </c>
      <c r="D106" s="171">
        <f t="shared" si="25"/>
        <v>28.5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1222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1223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796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796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796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1224</v>
      </c>
      <c r="C109" s="171">
        <f>SUM(H132:AE132)/2</f>
        <v>28.5</v>
      </c>
      <c r="D109" s="171">
        <f t="shared" si="25"/>
        <v>28.5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1</v>
      </c>
      <c r="BC109" s="171">
        <f>IF(CdTrp1!I76=1,1,IF(CdTrp1!I76=2,2,IF(CdTrp1!I76=3,2,IF(CdTrp1!I76=4,4,0))))</f>
        <v>1</v>
      </c>
      <c r="BD109" s="171">
        <f>IF(CdTrp1!J76=1,1,IF(CdTrp1!J76=2,2,IF(CdTrp1!J76=3,2,IF(CdTrp1!J76=4,4,0))))</f>
        <v>1</v>
      </c>
      <c r="BE109" s="171">
        <f>IF(CdTrp1!K76=1,1,IF(CdTrp1!K76=2,2,IF(CdTrp1!K76=3,2,IF(CdTrp1!K76=4,4,0))))</f>
        <v>1</v>
      </c>
      <c r="BF109" s="171">
        <f>IF(CdTrp1!L76=1,1,IF(CdTrp1!L76=2,2,IF(CdTrp1!L76=3,2,IF(CdTrp1!L76=4,4,0))))</f>
        <v>1</v>
      </c>
      <c r="BG109" s="171">
        <f>IF(CdTrp1!M76=1,1,IF(CdTrp1!M76=2,2,IF(CdTrp1!M76=3,2,IF(CdTrp1!M76=4,4,0))))</f>
        <v>1</v>
      </c>
      <c r="BH109" s="171">
        <v>2</v>
      </c>
      <c r="BI109" s="171">
        <f>IF(CdTrp1!O76=1,1,IF(CdTrp1!O76=2,2,IF(CdTrp1!O76=3,2,IF(CdTrp1!O76=4,4,0))))</f>
        <v>1</v>
      </c>
      <c r="BJ109" s="171">
        <f>IF(CdTrp1!P76=1,1,IF(CdTrp1!P76=2,2,IF(CdTrp1!P76=3,2,IF(CdTrp1!P76=4,4,0))))</f>
        <v>1</v>
      </c>
      <c r="BK109" s="171">
        <f>IF(CdTrp1!Q76=1,1,IF(CdTrp1!Q76=2,2,IF(CdTrp1!Q76=3,2,IF(CdTrp1!Q76=4,4,0))))</f>
        <v>1</v>
      </c>
      <c r="BL109" s="171">
        <f>IF(CdTrp1!R76=1,1,IF(CdTrp1!R76=2,2,IF(CdTrp1!R76=3,2,IF(CdTrp1!R76=4,4,0))))</f>
        <v>1</v>
      </c>
      <c r="BM109" s="171">
        <f>IF(CdTrp1!S76=1,1,IF(CdTrp1!S76=2,2,IF(CdTrp1!S76=3,2,IF(CdTrp1!S76=4,4,0))))</f>
        <v>1</v>
      </c>
      <c r="BN109" s="171">
        <f>IF(CdTrp1!T76=1,1,IF(CdTrp1!T76=2,2,IF(CdTrp1!T76=3,2,IF(CdTrp1!T76=4,4,0))))</f>
        <v>1</v>
      </c>
      <c r="BO109" s="171">
        <f>IF(CdTrp1!U76=1,1,IF(CdTrp1!U76=2,2,IF(CdTrp1!U76=3,2,IF(CdTrp1!U76=4,4,0))))</f>
        <v>1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1225</v>
      </c>
      <c r="C110" s="171">
        <f>COUNTIF($H$94:$AE$103,1)/2</f>
        <v>20</v>
      </c>
      <c r="D110" s="171">
        <f t="shared" si="25"/>
        <v>20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1</v>
      </c>
      <c r="AW110" s="171">
        <f>IF(CdTrp1!C77=1,1,IF(CdTrp1!C77=2,2,IF(CdTrp1!C77=3,2,IF(CdTrp1!C77=4,4,0))))</f>
        <v>1</v>
      </c>
      <c r="AX110" s="171">
        <f>IF(CdTrp1!D77=1,1,IF(CdTrp1!D77=2,2,IF(CdTrp1!D77=3,2,IF(CdTrp1!D77=4,4,0))))</f>
        <v>1</v>
      </c>
      <c r="AY110" s="171">
        <f>IF(CdTrp1!E77=1,1,IF(CdTrp1!E77=2,2,IF(CdTrp1!E77=3,2,IF(CdTrp1!E77=4,4,0))))</f>
        <v>1</v>
      </c>
      <c r="AZ110" s="171">
        <f>IF(CdTrp1!F77=1,1,IF(CdTrp1!F77=2,2,IF(CdTrp1!F77=3,2,IF(CdTrp1!F77=4,4,0))))</f>
        <v>2</v>
      </c>
      <c r="BA110" s="171">
        <f>IF(CdTrp1!G77=1,1,IF(CdTrp1!G77=2,2,IF(CdTrp1!G77=3,2,IF(CdTrp1!G77=4,4,0))))</f>
        <v>2</v>
      </c>
      <c r="BB110" s="171">
        <f>IF(CdTrp1!H77=1,1,IF(CdTrp1!H77=2,2,IF(CdTrp1!H77=3,2,IF(CdTrp1!H77=4,4,0))))</f>
        <v>2</v>
      </c>
      <c r="BC110" s="171">
        <f>IF(CdTrp1!I77=1,1,IF(CdTrp1!I77=2,2,IF(CdTrp1!I77=3,2,IF(CdTrp1!I77=4,4,0))))</f>
        <v>2</v>
      </c>
      <c r="BD110" s="171">
        <f>IF(CdTrp1!J77=1,1,IF(CdTrp1!J77=2,2,IF(CdTrp1!J77=3,2,IF(CdTrp1!J77=4,4,0))))</f>
        <v>2</v>
      </c>
      <c r="BE110" s="171">
        <f>IF(CdTrp1!K77=1,1,IF(CdTrp1!K77=2,2,IF(CdTrp1!K77=3,2,IF(CdTrp1!K77=4,4,0))))</f>
        <v>2</v>
      </c>
      <c r="BF110" s="171">
        <f>IF(CdTrp1!L77=1,1,IF(CdTrp1!L77=2,2,IF(CdTrp1!L77=3,2,IF(CdTrp1!L77=4,4,0))))</f>
        <v>2</v>
      </c>
      <c r="BG110" s="171">
        <f>IF(CdTrp1!M77=1,1,IF(CdTrp1!M77=2,2,IF(CdTrp1!M77=3,2,IF(CdTrp1!M77=4,4,0))))</f>
        <v>2</v>
      </c>
      <c r="BH110" s="171">
        <f>IF(CdTrp1!N77=1,1,IF(CdTrp1!N77=2,2,IF(CdTrp1!N77=3,2,IF(CdTrp1!N77=4,4,0))))</f>
        <v>2</v>
      </c>
      <c r="BI110" s="171">
        <f>IF(CdTrp1!O77=1,1,IF(CdTrp1!O77=2,2,IF(CdTrp1!O77=3,2,IF(CdTrp1!O77=4,4,0))))</f>
        <v>2</v>
      </c>
      <c r="BJ110" s="171">
        <f>IF(CdTrp1!P77=1,1,IF(CdTrp1!P77=2,2,IF(CdTrp1!P77=3,2,IF(CdTrp1!P77=4,4,0))))</f>
        <v>2</v>
      </c>
      <c r="BK110" s="171">
        <f>IF(CdTrp1!Q77=1,1,IF(CdTrp1!Q77=2,2,IF(CdTrp1!Q77=3,2,IF(CdTrp1!Q77=4,4,0))))</f>
        <v>2</v>
      </c>
      <c r="BL110" s="171">
        <f>IF(CdTrp1!R77=1,1,IF(CdTrp1!R77=2,2,IF(CdTrp1!R77=3,2,IF(CdTrp1!R77=4,4,0))))</f>
        <v>2</v>
      </c>
      <c r="BM110" s="171">
        <f>IF(CdTrp1!S77=1,1,IF(CdTrp1!S77=2,2,IF(CdTrp1!S77=3,2,IF(CdTrp1!S77=4,4,0))))</f>
        <v>2</v>
      </c>
      <c r="BN110" s="171">
        <f>IF(CdTrp1!T77=1,1,IF(CdTrp1!T77=2,2,IF(CdTrp1!T77=3,2,IF(CdTrp1!T77=4,4,0))))</f>
        <v>2</v>
      </c>
      <c r="BO110" s="171">
        <f>IF(CdTrp1!U77=1,1,IF(CdTrp1!U77=2,2,IF(CdTrp1!U77=3,2,IF(CdTrp1!U77=4,4,0))))</f>
        <v>2</v>
      </c>
      <c r="BP110" s="171">
        <f>IF(CdTrp1!V77=1,1,IF(CdTrp1!V77=2,2,IF(CdTrp1!V77=3,2,IF(CdTrp1!V77=4,4,0))))</f>
        <v>2</v>
      </c>
      <c r="BQ110" s="171">
        <f>IF(CdTrp1!W77=1,1,IF(CdTrp1!W77=2,2,IF(CdTrp1!W77=3,2,IF(CdTrp1!W77=4,4,0))))</f>
        <v>1</v>
      </c>
      <c r="BR110" s="171">
        <f>IF(CdTrp1!X77=1,1,IF(CdTrp1!X77=2,2,IF(CdTrp1!X77=3,2,IF(CdTrp1!X77=4,4,0))))</f>
        <v>1</v>
      </c>
      <c r="BS110" s="171">
        <f>IF(CdTrp1!Y77=1,1,IF(CdTrp1!Y77=2,2,IF(CdTrp1!Y77=3,2,IF(CdTrp1!Y77=4,4,0))))</f>
        <v>1</v>
      </c>
      <c r="BU110">
        <v>2</v>
      </c>
      <c r="BV110" t="s">
        <v>800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1226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0</v>
      </c>
      <c r="BI111" s="171">
        <f>IF(CdTrp1!O78=1,1,IF(CdTrp1!O78=2,2,IF(CdTrp1!O78=3,2,IF(CdTrp1!O78=4,4,0))))</f>
        <v>0</v>
      </c>
      <c r="BJ111" s="171">
        <f>IF(CdTrp1!P78=1,1,IF(CdTrp1!P78=2,2,IF(CdTrp1!P78=3,2,IF(CdTrp1!P78=4,4,0))))</f>
        <v>0</v>
      </c>
      <c r="BK111" s="171">
        <f>IF(CdTrp1!Q78=1,1,IF(CdTrp1!Q78=2,2,IF(CdTrp1!Q78=3,2,IF(CdTrp1!Q78=4,4,0))))</f>
        <v>0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802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1227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1</v>
      </c>
      <c r="BA112" s="171">
        <f>IF(CdTrp1!G79=1,1,IF(CdTrp1!G79=2,2,IF(CdTrp1!G79=3,2,IF(CdTrp1!G79=4,4,0))))</f>
        <v>1</v>
      </c>
      <c r="BB112" s="171">
        <f>IF(CdTrp1!H79=1,1,IF(CdTrp1!H79=2,2,IF(CdTrp1!H79=3,2,IF(CdTrp1!H79=4,4,0))))</f>
        <v>1</v>
      </c>
      <c r="BC112" s="171">
        <f>IF(CdTrp1!I79=1,1,IF(CdTrp1!I79=2,2,IF(CdTrp1!I79=3,2,IF(CdTrp1!I79=4,4,0))))</f>
        <v>1</v>
      </c>
      <c r="BD112" s="171">
        <f>IF(CdTrp1!J79=1,1,IF(CdTrp1!J79=2,2,IF(CdTrp1!J79=3,2,IF(CdTrp1!J79=4,4,0))))</f>
        <v>1</v>
      </c>
      <c r="BE112" s="171">
        <f>IF(CdTrp1!K79=1,1,IF(CdTrp1!K79=2,2,IF(CdTrp1!K79=3,2,IF(CdTrp1!K79=4,4,0))))</f>
        <v>1</v>
      </c>
      <c r="BF112" s="171">
        <f>IF(CdTrp1!L79=1,1,IF(CdTrp1!L79=2,2,IF(CdTrp1!L79=3,2,IF(CdTrp1!L79=4,4,0))))</f>
        <v>1</v>
      </c>
      <c r="BG112" s="171">
        <f>IF(CdTrp1!M79=1,1,IF(CdTrp1!M79=2,2,IF(CdTrp1!M79=3,2,IF(CdTrp1!M79=4,4,0))))</f>
        <v>1</v>
      </c>
      <c r="BH112" s="171">
        <f>IF(CdTrp1!N79=1,1,IF(CdTrp1!N79=2,2,IF(CdTrp1!N79=3,2,IF(CdTrp1!N79=4,4,0))))</f>
        <v>1</v>
      </c>
      <c r="BI112" s="171">
        <f>IF(CdTrp1!O79=1,1,IF(CdTrp1!O79=2,2,IF(CdTrp1!O79=3,2,IF(CdTrp1!O79=4,4,0))))</f>
        <v>1</v>
      </c>
      <c r="BJ112" s="171">
        <f>IF(CdTrp1!P79=1,1,IF(CdTrp1!P79=2,2,IF(CdTrp1!P79=3,2,IF(CdTrp1!P79=4,4,0))))</f>
        <v>1</v>
      </c>
      <c r="BK112" s="171">
        <f>IF(CdTrp1!Q79=1,1,IF(CdTrp1!Q79=2,2,IF(CdTrp1!Q79=3,2,IF(CdTrp1!Q79=4,4,0))))</f>
        <v>1</v>
      </c>
      <c r="BL112" s="171">
        <f>IF(CdTrp1!R79=1,1,IF(CdTrp1!R79=2,2,IF(CdTrp1!R79=3,2,IF(CdTrp1!R79=4,4,0))))</f>
        <v>1</v>
      </c>
      <c r="BM112" s="171">
        <f>IF(CdTrp1!S79=1,1,IF(CdTrp1!S79=2,2,IF(CdTrp1!S79=3,2,IF(CdTrp1!S79=4,4,0))))</f>
        <v>1</v>
      </c>
      <c r="BN112" s="171">
        <f>IF(CdTrp1!T79=1,1,IF(CdTrp1!T79=2,2,IF(CdTrp1!T79=3,2,IF(CdTrp1!T79=4,4,0))))</f>
        <v>1</v>
      </c>
      <c r="BO112" s="171">
        <f>IF(CdTrp1!U79=1,1,IF(CdTrp1!U79=2,2,IF(CdTrp1!U79=3,2,IF(CdTrp1!U79=4,4,0))))</f>
        <v>1</v>
      </c>
      <c r="BP112" s="171">
        <f>IF(CdTrp1!V79=1,1,IF(CdTrp1!V79=2,2,IF(CdTrp1!V79=3,2,IF(CdTrp1!V79=4,4,0))))</f>
        <v>1</v>
      </c>
      <c r="BQ112" s="171">
        <f>IF(CdTrp1!W79=1,1,IF(CdTrp1!W79=2,2,IF(CdTrp1!W79=3,2,IF(CdTrp1!W79=4,4,0))))</f>
        <v>1</v>
      </c>
      <c r="BR112" s="171">
        <f>IF(CdTrp1!X79=1,1,IF(CdTrp1!X79=2,2,IF(CdTrp1!X79=3,2,IF(CdTrp1!X79=4,4,0))))</f>
        <v>1</v>
      </c>
      <c r="BS112" s="171">
        <f>IF(CdTrp1!Y79=1,1,IF(CdTrp1!Y79=2,2,IF(CdTrp1!Y79=3,2,IF(CdTrp1!Y79=4,4,0))))</f>
        <v>0</v>
      </c>
      <c r="BU112">
        <v>0</v>
      </c>
      <c r="BV112" t="s">
        <v>804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1228</v>
      </c>
      <c r="C113" s="171">
        <f>COUNTIF($H$94:$AE$103,2)/2</f>
        <v>8.5</v>
      </c>
      <c r="D113" s="171">
        <f t="shared" si="25"/>
        <v>8.5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broutard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1229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1230</v>
      </c>
      <c r="C115" s="171">
        <f>COUNTIF($H$116:$AE$125,2)/2</f>
        <v>0</v>
      </c>
      <c r="D115" s="171">
        <f t="shared" si="25"/>
        <v>0</v>
      </c>
      <c r="F115" s="14" t="s">
        <v>924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1231</v>
      </c>
      <c r="C116" s="171">
        <f>COUNTIF($H$94:$AE$103,3)/2</f>
        <v>0</v>
      </c>
      <c r="D116" s="171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1232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1233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1234</v>
      </c>
      <c r="C119" s="171">
        <f>COUNTIF($H$94:$AE$103,4)/2</f>
        <v>0</v>
      </c>
      <c r="D119" s="171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812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812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812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1235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814</v>
      </c>
      <c r="AU120" s="30">
        <f>VALUE(CONCATENATE(Scénario!K8,Travail!AU2))</f>
        <v>42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814</v>
      </c>
      <c r="CA120" s="30">
        <f>VALUE(CONCATENATE(Scénario!K8,Travail!CA2))</f>
        <v>40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814</v>
      </c>
      <c r="DD120" s="30">
        <f>VALUE(CONCATENATE(Scénario!K8,Travail!DD2))</f>
        <v>40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1236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816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1237</v>
      </c>
      <c r="C122" s="171">
        <f>COUNTIF($H$94:$AE$103,5)/2</f>
        <v>0</v>
      </c>
      <c r="D122" s="171">
        <f t="shared" si="25"/>
        <v>0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1238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1239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1240</v>
      </c>
      <c r="C125" s="171">
        <f t="shared" ref="C125:C132" si="34">SUM(H134:AE134)/2</f>
        <v>0</v>
      </c>
      <c r="D125" s="171">
        <f t="shared" si="25"/>
        <v>0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broutard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1241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1242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1243</v>
      </c>
      <c r="C128" s="171">
        <f t="shared" si="34"/>
        <v>0</v>
      </c>
      <c r="D128" s="171">
        <f t="shared" si="25"/>
        <v>0</v>
      </c>
      <c r="F128" s="14" t="s">
        <v>1244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1245</v>
      </c>
      <c r="C129" s="171">
        <f t="shared" si="34"/>
        <v>0</v>
      </c>
      <c r="D129" s="171">
        <f t="shared" si="25"/>
        <v>0</v>
      </c>
      <c r="F129" s="14" t="s">
        <v>907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1</v>
      </c>
      <c r="L129">
        <f t="shared" si="35"/>
        <v>2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1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1246</v>
      </c>
      <c r="C130" s="171">
        <f t="shared" si="34"/>
        <v>0</v>
      </c>
      <c r="D130" s="171">
        <f t="shared" si="25"/>
        <v>0</v>
      </c>
      <c r="F130" s="14" t="s">
        <v>923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1247</v>
      </c>
      <c r="C131" s="171">
        <f t="shared" si="34"/>
        <v>0</v>
      </c>
      <c r="D131" s="171">
        <f t="shared" si="25"/>
        <v>0</v>
      </c>
      <c r="F131" s="14" t="s">
        <v>924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825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825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825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1248</v>
      </c>
      <c r="C132" s="171">
        <f t="shared" si="34"/>
        <v>0</v>
      </c>
      <c r="D132" s="171">
        <f t="shared" si="25"/>
        <v>0</v>
      </c>
      <c r="F132" s="14" t="s">
        <v>1249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1</v>
      </c>
      <c r="L132">
        <f t="shared" si="38"/>
        <v>2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1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1250</v>
      </c>
      <c r="C133" s="260">
        <f>IF(C110&gt;0,C110/(C110+C113+C116),0)</f>
        <v>0.70175438596491224</v>
      </c>
      <c r="D133" s="260">
        <f t="shared" si="25"/>
        <v>0.70175438596491224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1251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1252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1253</v>
      </c>
      <c r="C135" s="260">
        <f t="shared" si="45"/>
        <v>0</v>
      </c>
      <c r="D135" s="260">
        <f t="shared" si="25"/>
        <v>0</v>
      </c>
      <c r="F135" s="14" t="s">
        <v>1254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1255</v>
      </c>
      <c r="C136" s="260">
        <f>SUM(C110:C112)/SUM(C110:C118)</f>
        <v>0.70175438596491224</v>
      </c>
      <c r="D136" s="260">
        <f t="shared" si="25"/>
        <v>0.70175438596491224</v>
      </c>
      <c r="F136" s="14" t="s">
        <v>1256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broutard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1257</v>
      </c>
      <c r="B137" s="32" t="s">
        <v>1258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1259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1260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1261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1262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1263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1264</v>
      </c>
      <c r="C140" s="171">
        <f>IF(Troupeau!B$3="VL",('Calcul éco'!B13),0)</f>
        <v>0</v>
      </c>
      <c r="D140" s="261">
        <f t="shared" si="50"/>
        <v>0</v>
      </c>
      <c r="F140" s="14" t="s">
        <v>1265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1266</v>
      </c>
      <c r="C141" s="171">
        <f>IF(Troupeau!B$3="VL",('Calcul éco'!B14),0)</f>
        <v>0</v>
      </c>
      <c r="D141" s="261">
        <f t="shared" si="50"/>
        <v>0</v>
      </c>
      <c r="F141" s="14" t="s">
        <v>1267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1268</v>
      </c>
      <c r="C142" s="171">
        <f>SUM(G147:G150)</f>
        <v>40</v>
      </c>
      <c r="D142" s="261">
        <f t="shared" si="50"/>
        <v>0</v>
      </c>
      <c r="AT142" s="19" t="s">
        <v>837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837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837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1269</v>
      </c>
      <c r="C143" s="171">
        <f>G151+G153</f>
        <v>7</v>
      </c>
      <c r="D143" s="261">
        <f t="shared" si="50"/>
        <v>0</v>
      </c>
      <c r="AT143" s="19" t="s">
        <v>840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840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840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1270</v>
      </c>
      <c r="C144" s="171">
        <f>G152+G154</f>
        <v>1</v>
      </c>
      <c r="D144" s="261">
        <f t="shared" si="50"/>
        <v>0</v>
      </c>
      <c r="AT144" s="19" t="s">
        <v>842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842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842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1271</v>
      </c>
      <c r="C145" s="171">
        <f>G155+G156</f>
        <v>0</v>
      </c>
      <c r="D145" s="261">
        <f t="shared" si="50"/>
        <v>0</v>
      </c>
      <c r="AT145" s="19" t="s">
        <v>844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844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844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1272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1273</v>
      </c>
      <c r="AT146" s="40" t="s">
        <v>846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1274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1275</v>
      </c>
      <c r="G147">
        <f>IF(Troupeau!B$3="BV",'Calcul éco'!B9,0)</f>
        <v>24</v>
      </c>
      <c r="AT147" s="40" t="s">
        <v>848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1276</v>
      </c>
      <c r="B148" s="14" t="s">
        <v>1277</v>
      </c>
      <c r="C148" s="171">
        <f>IF(Troupeau!B3="OL",'Calcul éco'!B5,0)</f>
        <v>0</v>
      </c>
      <c r="D148" s="261">
        <f t="shared" si="50"/>
        <v>0</v>
      </c>
      <c r="F148" s="14" t="s">
        <v>1278</v>
      </c>
      <c r="G148">
        <f>IF(Troupeau!B$3="BV",'Calcul éco'!B10,0)</f>
        <v>16</v>
      </c>
      <c r="AT148" s="40" t="s">
        <v>850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850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850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1279</v>
      </c>
      <c r="C149" s="171">
        <f>IF(Troupeau!B3="OL",'Calcul éco'!B6,0)</f>
        <v>0</v>
      </c>
      <c r="D149" s="261">
        <f t="shared" si="50"/>
        <v>0</v>
      </c>
      <c r="F149" s="14" t="s">
        <v>1280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851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1281</v>
      </c>
      <c r="C150" s="171">
        <f>IF(Troupeau!B3="BL",'Calcul éco'!B5,0)</f>
        <v>0</v>
      </c>
      <c r="D150" s="261">
        <f t="shared" si="50"/>
        <v>0</v>
      </c>
      <c r="F150" s="14" t="s">
        <v>1282</v>
      </c>
      <c r="G150">
        <f>IF(Troupeau!C$3="BV",'Calcul éco'!C10,0)</f>
        <v>0</v>
      </c>
      <c r="AT150" s="40" t="s">
        <v>851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851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1283</v>
      </c>
      <c r="B151" s="14" t="s">
        <v>1284</v>
      </c>
      <c r="C151" s="171">
        <f>'Calcul éco'!C19</f>
        <v>4.4000000000000004</v>
      </c>
      <c r="D151" s="261">
        <f t="shared" si="50"/>
        <v>0</v>
      </c>
      <c r="F151" s="14" t="s">
        <v>1285</v>
      </c>
      <c r="G151">
        <f>IF(Troupeau!B$3="BV",'Calcul éco'!B13,0)</f>
        <v>7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1286</v>
      </c>
      <c r="C152" s="171">
        <f>'Calcul éco'!C20</f>
        <v>0.89999999999999947</v>
      </c>
      <c r="D152" s="261">
        <f t="shared" si="50"/>
        <v>0</v>
      </c>
      <c r="F152" s="14" t="s">
        <v>1287</v>
      </c>
      <c r="G152">
        <f>IF(Troupeau!B$3="BV",'Calcul éco'!B14,0)</f>
        <v>1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1288</v>
      </c>
      <c r="C153" s="171">
        <f>'Calcul éco'!C21</f>
        <v>0</v>
      </c>
      <c r="D153" s="261">
        <f t="shared" si="50"/>
        <v>0</v>
      </c>
      <c r="F153" s="14" t="s">
        <v>1289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1290</v>
      </c>
      <c r="C154" s="171">
        <f>'Calcul éco'!D19</f>
        <v>4.5999999999999996</v>
      </c>
      <c r="D154" s="261">
        <f t="shared" si="50"/>
        <v>0</v>
      </c>
      <c r="F154" s="14" t="s">
        <v>1291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1292</v>
      </c>
      <c r="C155" s="171">
        <f>'Calcul éco'!D20</f>
        <v>4.2</v>
      </c>
      <c r="D155" s="261">
        <f t="shared" si="50"/>
        <v>0</v>
      </c>
      <c r="F155" s="14" t="s">
        <v>1293</v>
      </c>
      <c r="G155">
        <f>IF(Troupeau!B$3="BV",('Calcul éco'!B$11+'Calcul éco'!B$12),0)</f>
        <v>0</v>
      </c>
      <c r="AT155" s="185" t="str">
        <f>AT91</f>
        <v>broutard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1294</v>
      </c>
      <c r="C156" s="171">
        <f>'Calcul éco'!D21</f>
        <v>0</v>
      </c>
      <c r="D156" s="261">
        <f t="shared" si="50"/>
        <v>0</v>
      </c>
      <c r="F156" s="14" t="s">
        <v>1295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1296</v>
      </c>
      <c r="C157" s="171">
        <f>C151+C154</f>
        <v>9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1297</v>
      </c>
      <c r="C158" s="171">
        <f t="shared" ref="C158:C159" si="82">C152+C155</f>
        <v>5.0999999999999996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1298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1299</v>
      </c>
      <c r="C160" s="171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1300</v>
      </c>
      <c r="B161" s="14" t="s">
        <v>1301</v>
      </c>
      <c r="C161" s="260">
        <f>IF(Troupeau!$B$3="OL",CdTrp1!$AA$159,0)</f>
        <v>0</v>
      </c>
      <c r="D161" s="261">
        <f t="shared" si="50"/>
        <v>0</v>
      </c>
      <c r="AT161" s="185" t="s">
        <v>865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865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865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1302</v>
      </c>
      <c r="B162" s="14" t="s">
        <v>1303</v>
      </c>
      <c r="C162" s="260">
        <f>IF(Troupeau!$B$3="OL",CdTrp1!$AA$147,0)</f>
        <v>0</v>
      </c>
      <c r="D162" s="261">
        <f t="shared" si="50"/>
        <v>0</v>
      </c>
      <c r="AT162" s="185" t="s">
        <v>867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867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867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1304</v>
      </c>
      <c r="C163" s="260">
        <f>IF(Troupeau!$B$3="BL",CdTrp1!$AA$159,0)</f>
        <v>0</v>
      </c>
      <c r="D163" s="261">
        <f t="shared" si="50"/>
        <v>0</v>
      </c>
      <c r="AT163" s="40" t="s">
        <v>869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1305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1306</v>
      </c>
      <c r="C165" s="260">
        <f>IF(Troupeau!$B$3="BV",CdTrp1!$AA$159,0)+IF(Troupeau!$C$3="BV",CdTrp2!$AA$159,0)</f>
        <v>175.03368325000002</v>
      </c>
      <c r="D165" s="261">
        <f t="shared" si="50"/>
        <v>0</v>
      </c>
      <c r="AT165" s="40" t="s">
        <v>872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1307</v>
      </c>
      <c r="C166" s="260">
        <f>IF(Troupeau!$B$3="BV",CdTrp1!$AA$147,0)+IF(Troupeau!$C$3="BV",CdTrp2!$AA$147,0)</f>
        <v>95.682805899999991</v>
      </c>
      <c r="D166" s="261">
        <f t="shared" si="50"/>
        <v>0</v>
      </c>
      <c r="AT166" s="147" t="s">
        <v>874</v>
      </c>
      <c r="AU166" s="17">
        <f>VLOOKUP(AU120,[1]Trav!$B$12:$C$31,2)</f>
        <v>15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874</v>
      </c>
      <c r="CA166" s="17">
        <f>VLOOKUP(CA120,[1]Trav!$B$12:$C$31,2)</f>
        <v>13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874</v>
      </c>
      <c r="DD166" s="17">
        <f>VLOOKUP(DD120,[1]Trav!$B$12:$C$31,2)</f>
        <v>13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1308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1309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1310</v>
      </c>
      <c r="C169" s="171">
        <f>SUM('Alim -Surf'!D24:H24)</f>
        <v>189.70850000000002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1311</v>
      </c>
      <c r="C170" s="171">
        <f>SUM('Alim -Surf'!D25:H25)</f>
        <v>175.03368325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1312</v>
      </c>
      <c r="C171" s="171">
        <f>'Alim -Surf'!K24</f>
        <v>30.597000000000001</v>
      </c>
      <c r="D171" s="261">
        <f t="shared" si="50"/>
        <v>0</v>
      </c>
      <c r="AT171" s="185" t="str">
        <f t="shared" si="95"/>
        <v>broutard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1313</v>
      </c>
      <c r="C172" s="171">
        <f>'Alim -Surf'!K25</f>
        <v>80.899999999999991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1314</v>
      </c>
      <c r="C173" s="171">
        <f>C169-C170</f>
        <v>14.674816750000019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1315</v>
      </c>
      <c r="C174" s="194">
        <f>ROUND((1 -(C173/C169))*100,1)</f>
        <v>92.3</v>
      </c>
      <c r="D174" s="261">
        <f t="shared" si="50"/>
        <v>0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1316</v>
      </c>
      <c r="C175" s="171">
        <f>C171-C172</f>
        <v>-50.30299999999999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1317</v>
      </c>
      <c r="C176" s="171">
        <f>'Calcul éco'!B118</f>
        <v>50.30299999999999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1318</v>
      </c>
      <c r="C177" s="171">
        <f>'Calcul éco'!C30</f>
        <v>0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1319</v>
      </c>
      <c r="C178" s="171">
        <f>ROUND((C170+C171)/(C170+C172),2)*100</f>
        <v>80</v>
      </c>
      <c r="D178" s="171" t="e">
        <f>ROUND((D170+D171)/(D170+D172),2)*100</f>
        <v>#DIV/0!</v>
      </c>
      <c r="AT178" s="40" t="s">
        <v>886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886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886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1320</v>
      </c>
      <c r="C179" s="171">
        <f>SUM('Calcul éco'!D82:F106)</f>
        <v>21.4</v>
      </c>
      <c r="D179" s="261">
        <f>C179*$D$82/$C$82</f>
        <v>0</v>
      </c>
    </row>
    <row r="180" spans="1:132" x14ac:dyDescent="0.25">
      <c r="B180" s="14" t="s">
        <v>1321</v>
      </c>
      <c r="C180" s="171">
        <f>SUM('Calcul éco'!D19:D21)</f>
        <v>8.8000000000000007</v>
      </c>
      <c r="D180" s="261">
        <f>C180*$D$82/$C$82</f>
        <v>0</v>
      </c>
    </row>
    <row r="181" spans="1:132" x14ac:dyDescent="0.25">
      <c r="B181" s="14" t="s">
        <v>1322</v>
      </c>
      <c r="C181" s="171">
        <f>ROUND(C180/C179,2)*100</f>
        <v>41</v>
      </c>
      <c r="D181" s="171" t="e">
        <f>ROUND(D180/D179,2)*100</f>
        <v>#DIV/0!</v>
      </c>
    </row>
    <row r="182" spans="1:132" x14ac:dyDescent="0.25">
      <c r="A182" s="2" t="s">
        <v>1323</v>
      </c>
      <c r="B182" s="14" t="s">
        <v>1324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1325</v>
      </c>
      <c r="C183" s="171">
        <f>Protection!AK25</f>
        <v>0</v>
      </c>
      <c r="D183" s="262">
        <f>ROUND(D184*D185,0)</f>
        <v>0</v>
      </c>
      <c r="E183" s="17" t="s">
        <v>1326</v>
      </c>
    </row>
    <row r="184" spans="1:132" x14ac:dyDescent="0.25">
      <c r="B184" s="14" t="s">
        <v>1327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1328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1329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1330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1331</v>
      </c>
      <c r="C188" s="171">
        <f>'Calcul éco'!T236</f>
        <v>0</v>
      </c>
      <c r="D188" s="171">
        <f t="shared" ref="D188:D189" si="101">C188</f>
        <v>0</v>
      </c>
      <c r="AK188" s="40" t="s">
        <v>1137</v>
      </c>
    </row>
    <row r="189" spans="1:132" x14ac:dyDescent="0.25">
      <c r="B189" s="14" t="s">
        <v>1332</v>
      </c>
      <c r="C189" s="171">
        <f>'Calcul éco'!T245</f>
        <v>0</v>
      </c>
      <c r="D189" s="171">
        <f t="shared" si="101"/>
        <v>0</v>
      </c>
      <c r="AH189" s="15"/>
      <c r="AJ189" s="14" t="s">
        <v>1138</v>
      </c>
      <c r="AK189" s="30">
        <f>D189</f>
        <v>0</v>
      </c>
      <c r="AO189" s="171">
        <f>ROUND((([1]Protect!$B$5/[1]Protect!$B$11)+[1]Protect!$B$8)*AK189,0)</f>
        <v>0</v>
      </c>
    </row>
    <row r="190" spans="1:132" x14ac:dyDescent="0.25">
      <c r="B190" s="14" t="s">
        <v>1333</v>
      </c>
      <c r="C190" s="171">
        <f>'Calcul éco'!T246*(30)</f>
        <v>0</v>
      </c>
      <c r="D190" s="171">
        <f>C190</f>
        <v>0</v>
      </c>
      <c r="AH190" s="15"/>
      <c r="AJ190" s="14" t="s">
        <v>1139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1334</v>
      </c>
      <c r="C191" s="194">
        <f>ROUND(SUM(Travail!F69:F74)/8,1)</f>
        <v>0</v>
      </c>
      <c r="D191" s="171">
        <f>C191</f>
        <v>0</v>
      </c>
      <c r="E191" s="17" t="s">
        <v>1335</v>
      </c>
      <c r="G191" t="s">
        <v>1336</v>
      </c>
      <c r="N191" t="s">
        <v>1337</v>
      </c>
      <c r="U191" t="s">
        <v>951</v>
      </c>
      <c r="AJ191" s="14" t="s">
        <v>1140</v>
      </c>
      <c r="AK191" s="30">
        <f>Travail!F16/8</f>
        <v>0</v>
      </c>
      <c r="AN191" s="171">
        <f>[1]Eco!$B$111</f>
        <v>28.3</v>
      </c>
      <c r="AO191" s="171">
        <f>AK191*AN191</f>
        <v>0</v>
      </c>
    </row>
    <row r="192" spans="1:132" x14ac:dyDescent="0.25">
      <c r="B192" s="14" t="s">
        <v>1338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1339</v>
      </c>
      <c r="I192" s="5"/>
      <c r="AN192" s="14" t="s">
        <v>1141</v>
      </c>
      <c r="AO192" s="171">
        <f>SUM(AO189:AO191)</f>
        <v>0</v>
      </c>
    </row>
    <row r="193" spans="1:43" x14ac:dyDescent="0.25">
      <c r="B193" s="14" t="s">
        <v>1340</v>
      </c>
      <c r="C193" s="171">
        <f>(Travail!F75+Travail!F76+Travail!F81)/8</f>
        <v>0</v>
      </c>
      <c r="D193" s="171">
        <f>C193</f>
        <v>0</v>
      </c>
      <c r="I193" s="32" t="s">
        <v>1341</v>
      </c>
      <c r="J193" s="5">
        <f>D65</f>
        <v>0</v>
      </c>
      <c r="P193" s="32" t="s">
        <v>1342</v>
      </c>
      <c r="Q193" s="5">
        <f>D64</f>
        <v>0</v>
      </c>
      <c r="V193" s="32" t="s">
        <v>1343</v>
      </c>
      <c r="W193" s="5">
        <f>D63</f>
        <v>0</v>
      </c>
    </row>
    <row r="194" spans="1:43" x14ac:dyDescent="0.25">
      <c r="A194" s="2" t="s">
        <v>1344</v>
      </c>
      <c r="B194" s="14" t="s">
        <v>1345</v>
      </c>
      <c r="C194" s="171">
        <f>ROUND(SUM('Calcul éco'!J5:J30),0)</f>
        <v>47293</v>
      </c>
      <c r="D194" s="257">
        <f>ROUND(C194*D$82/C$82,0)</f>
        <v>0</v>
      </c>
      <c r="I194" s="32" t="s">
        <v>1346</v>
      </c>
      <c r="J194" s="5">
        <f>J193/IF(Scénario!K2="Exploit. Ind.",1,Scénario!K3)</f>
        <v>0</v>
      </c>
      <c r="P194" s="32" t="s">
        <v>1347</v>
      </c>
      <c r="Q194" s="5">
        <f>Q193/IF(Scénario!K2="Exploit. Ind.",1,Scénario!K3)</f>
        <v>0</v>
      </c>
      <c r="V194" s="32" t="s">
        <v>1348</v>
      </c>
      <c r="W194" s="5">
        <f>W193/IF(Scénario!K2="Exploit. Ind.",1,Scénario!K3)</f>
        <v>0</v>
      </c>
    </row>
    <row r="195" spans="1:43" x14ac:dyDescent="0.25">
      <c r="A195" s="2"/>
      <c r="B195" s="14" t="s">
        <v>1349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1350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1351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959</v>
      </c>
      <c r="I197" s="169" t="s">
        <v>960</v>
      </c>
      <c r="J197" s="169" t="s">
        <v>710</v>
      </c>
      <c r="O197" s="169" t="s">
        <v>959</v>
      </c>
      <c r="P197" s="169" t="s">
        <v>963</v>
      </c>
      <c r="Q197" s="169" t="s">
        <v>710</v>
      </c>
      <c r="T197" s="5"/>
      <c r="U197" s="169" t="s">
        <v>959</v>
      </c>
      <c r="V197" s="169" t="s">
        <v>961</v>
      </c>
      <c r="W197" s="169" t="s">
        <v>710</v>
      </c>
    </row>
    <row r="198" spans="1:43" x14ac:dyDescent="0.25">
      <c r="A198" s="2"/>
      <c r="B198" s="14" t="s">
        <v>1352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965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967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966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1144</v>
      </c>
      <c r="AJ198" s="4">
        <f>IF(Troupeau!B3="OL",L223,0)*Scénario!K56</f>
        <v>0</v>
      </c>
      <c r="AO198" s="40" t="s">
        <v>1145</v>
      </c>
      <c r="AP198">
        <f>IF(Troupeau!B3="OL",D63,0)</f>
        <v>0</v>
      </c>
    </row>
    <row r="199" spans="1:43" x14ac:dyDescent="0.25">
      <c r="A199" s="2"/>
      <c r="B199" s="14" t="s">
        <v>1353</v>
      </c>
      <c r="C199" s="171">
        <f>IF(Troupeau!B3="BV",SUM('Calcul éco'!K9:K15)-'Calcul éco'!K16,0)+IF(Troupeau!C3="BV",SUM('Calcul éco'!L9:L15)-'Calcul éco'!L16,0)</f>
        <v>48174</v>
      </c>
      <c r="D199" s="257">
        <f t="shared" si="102"/>
        <v>0</v>
      </c>
      <c r="G199" s="14" t="s">
        <v>968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971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969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1146</v>
      </c>
      <c r="AQ199" t="s">
        <v>1146</v>
      </c>
    </row>
    <row r="200" spans="1:43" x14ac:dyDescent="0.25">
      <c r="A200" s="2"/>
      <c r="B200" s="14" t="s">
        <v>1354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973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970</v>
      </c>
      <c r="Q200" s="62">
        <f>IF(Scénario!K10=1,Q198,Q199)*IF(Scénario!K2="Exploit. Ind.",1,Scénario!K3)</f>
        <v>0</v>
      </c>
      <c r="V200" s="40" t="s">
        <v>970</v>
      </c>
      <c r="W200" s="62">
        <f>SUM(W198:W199)*IF(Scénario!K2="Exploit. Ind.",1,Scénario!K3)</f>
        <v>0</v>
      </c>
      <c r="AI200" s="14" t="s">
        <v>1147</v>
      </c>
      <c r="AJ200" s="30">
        <f>IF(AJ198&lt;151,1,0)</f>
        <v>1</v>
      </c>
      <c r="AK200" s="171">
        <f>IF(AJ200=0,0,[1]Protect!B76)</f>
        <v>7500</v>
      </c>
      <c r="AO200" s="14" t="s">
        <v>1148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979</v>
      </c>
      <c r="B201" s="14" t="s">
        <v>980</v>
      </c>
      <c r="C201" s="171">
        <f>'Calcul éco'!J34</f>
        <v>9268</v>
      </c>
      <c r="D201" s="262">
        <f>J201</f>
        <v>0</v>
      </c>
      <c r="E201" s="17" t="s">
        <v>1355</v>
      </c>
      <c r="I201" s="40" t="s">
        <v>970</v>
      </c>
      <c r="J201" s="62">
        <f>SUM(J198:J200)*IF(Scénario!K2="Exploit. Ind.",1,Scénario!K3)</f>
        <v>0</v>
      </c>
      <c r="AI201" s="14" t="s">
        <v>1149</v>
      </c>
      <c r="AJ201" s="30">
        <f>IF(AND(150 &lt;AJ$198,AJ$198&lt;451),1,0)</f>
        <v>0</v>
      </c>
      <c r="AK201" s="171">
        <f>IF(AJ201=0,0,[1]Protect!B77)</f>
        <v>0</v>
      </c>
      <c r="AO201" s="14" t="s">
        <v>1150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982</v>
      </c>
      <c r="C202" s="171">
        <f>+'Calcul éco'!J35</f>
        <v>0</v>
      </c>
      <c r="D202" s="262">
        <f>ROUND(Q200,0)</f>
        <v>0</v>
      </c>
      <c r="E202" s="17" t="s">
        <v>1355</v>
      </c>
      <c r="AI202" s="14" t="s">
        <v>1151</v>
      </c>
      <c r="AJ202" s="30">
        <f>IF(AND(540 &lt;AJ$198,AJ$198&lt;1201),1,0)</f>
        <v>0</v>
      </c>
      <c r="AK202" s="171">
        <f>IF(AJ202=0,0,[1]Protect!B78)</f>
        <v>0</v>
      </c>
      <c r="AO202" s="14" t="s">
        <v>1152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988</v>
      </c>
      <c r="C203" s="171">
        <f>'Calcul éco'!J37</f>
        <v>0</v>
      </c>
      <c r="D203" s="262">
        <f>ROUND(W200,0)</f>
        <v>0</v>
      </c>
      <c r="E203" s="17" t="s">
        <v>1355</v>
      </c>
      <c r="AI203" s="14" t="s">
        <v>1153</v>
      </c>
      <c r="AJ203" s="30">
        <f>IF(AND(1200&lt;AJ$198,AJ$198&lt;1501),1,0)</f>
        <v>0</v>
      </c>
      <c r="AK203" s="171">
        <f>IF(AJ203=0,0,[1]Protect!B79)</f>
        <v>0</v>
      </c>
      <c r="AO203" s="14" t="s">
        <v>1154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998</v>
      </c>
      <c r="C204" s="171">
        <f>'Calcul éco'!J39</f>
        <v>0</v>
      </c>
      <c r="D204" s="257">
        <f>ROUND(C204*D$82/C$82,0)</f>
        <v>0</v>
      </c>
      <c r="I204" s="40" t="s">
        <v>989</v>
      </c>
      <c r="J204" t="s">
        <v>990</v>
      </c>
      <c r="K204" t="s">
        <v>991</v>
      </c>
      <c r="L204" t="s">
        <v>992</v>
      </c>
      <c r="T204" s="2" t="s">
        <v>983</v>
      </c>
      <c r="U204" s="14"/>
      <c r="V204" s="36"/>
      <c r="AI204" s="14" t="s">
        <v>1155</v>
      </c>
      <c r="AJ204" s="30">
        <f>IF(1500&lt;AJ$198,1,0)</f>
        <v>0</v>
      </c>
      <c r="AK204" s="171">
        <f>IF(AJ204=0,0,[1]Protect!B80)</f>
        <v>0</v>
      </c>
      <c r="AO204" s="14" t="s">
        <v>1156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549</v>
      </c>
      <c r="C205" s="171">
        <f>'Calcul éco'!J40</f>
        <v>0</v>
      </c>
      <c r="D205" s="257">
        <f>ROUND(C205*D$82/C$82,0)</f>
        <v>0</v>
      </c>
      <c r="I205" s="14" t="s">
        <v>1356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987</v>
      </c>
      <c r="Y205" s="186">
        <f>'Calcul éco'!AC36</f>
        <v>85</v>
      </c>
      <c r="Z205" s="5"/>
    </row>
    <row r="206" spans="1:43" x14ac:dyDescent="0.25">
      <c r="A206" s="2" t="s">
        <v>1002</v>
      </c>
      <c r="B206" s="19" t="s">
        <v>1003</v>
      </c>
      <c r="C206" s="171">
        <f>ROUND('Calcul éco'!J42,0)</f>
        <v>5034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993</v>
      </c>
      <c r="Y206" s="169" t="s">
        <v>959</v>
      </c>
      <c r="Z206" s="169" t="s">
        <v>710</v>
      </c>
    </row>
    <row r="207" spans="1:43" x14ac:dyDescent="0.25">
      <c r="B207" s="207" t="s">
        <v>1007</v>
      </c>
      <c r="C207" s="171">
        <f>ROUND('Calcul éco'!J43,0)</f>
        <v>2543</v>
      </c>
      <c r="D207" s="262">
        <f>IF(L212&gt;52,52,L212)*IF(Scénario!K2="Exploit. Ind.",1,Scénario!K3)*'Calcul éco'!C43</f>
        <v>0</v>
      </c>
      <c r="E207" s="17" t="s">
        <v>1357</v>
      </c>
      <c r="W207" s="14" t="s">
        <v>997</v>
      </c>
      <c r="X207" s="171">
        <f>IF(T208&gt;25, 25,T208)</f>
        <v>0</v>
      </c>
      <c r="Y207" s="171">
        <f>Y209+Y205</f>
        <v>155</v>
      </c>
      <c r="Z207" s="171">
        <f>X207*Y207</f>
        <v>0</v>
      </c>
      <c r="AF207" s="23" t="s">
        <v>1157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1008</v>
      </c>
      <c r="C208" s="171">
        <f>ROUND('Calcul éco'!J44,0)</f>
        <v>3477</v>
      </c>
      <c r="D208" s="257">
        <f>ROUND(C208*D$82/C$82,0)</f>
        <v>0</v>
      </c>
      <c r="S208" s="14" t="s">
        <v>999</v>
      </c>
      <c r="T208" s="30">
        <f>L212</f>
        <v>0</v>
      </c>
      <c r="W208" s="14" t="s">
        <v>1000</v>
      </c>
      <c r="X208" s="171">
        <f>IF(T208&gt;50,25,IF(T208&gt;25,T208-25,0))</f>
        <v>0</v>
      </c>
      <c r="Y208" s="171">
        <f>Y209+0.66*Y205</f>
        <v>126.1</v>
      </c>
      <c r="Z208" s="171">
        <f t="shared" ref="Z208:Z209" si="105">X208*Y208</f>
        <v>0</v>
      </c>
      <c r="AF208" s="5"/>
      <c r="AK208" s="14" t="s">
        <v>1158</v>
      </c>
      <c r="AL208" s="171">
        <f>IF(AO192&lt;SUM(AK200:AK204),AO192,SUM(AK200:AK204))</f>
        <v>0</v>
      </c>
      <c r="AQ208" s="240"/>
    </row>
    <row r="209" spans="1:43" x14ac:dyDescent="0.25">
      <c r="B209" s="19" t="s">
        <v>1010</v>
      </c>
      <c r="C209" s="171">
        <f>ROUND('Calcul éco'!J45,0)</f>
        <v>7161</v>
      </c>
      <c r="D209" s="262">
        <f>IF(Scénario!K9=0,0,ROUND(Z210,0))</f>
        <v>0</v>
      </c>
      <c r="E209" s="17" t="s">
        <v>1358</v>
      </c>
      <c r="K209" s="40" t="s">
        <v>1009</v>
      </c>
      <c r="L209" s="62">
        <f>SUM(L205:L206)</f>
        <v>0</v>
      </c>
      <c r="W209" s="14" t="s">
        <v>1001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1159</v>
      </c>
      <c r="AL209" s="171">
        <f>IF(AO192&lt;SUM(AQ200:AQ204),AO192,SUM(AQ200:AQ204))</f>
        <v>0</v>
      </c>
      <c r="AP209" s="240"/>
      <c r="AQ209" s="240"/>
    </row>
    <row r="210" spans="1:43" x14ac:dyDescent="0.25">
      <c r="B210" s="19" t="s">
        <v>1359</v>
      </c>
      <c r="C210" s="171">
        <f>ROUND('Calcul éco'!J46,0)</f>
        <v>0</v>
      </c>
      <c r="D210" s="262">
        <f>ROUND(AL207,0)</f>
        <v>0</v>
      </c>
      <c r="E210" s="17" t="s">
        <v>1360</v>
      </c>
      <c r="K210" s="14" t="s">
        <v>1011</v>
      </c>
      <c r="L210" s="171">
        <f>J221</f>
        <v>0</v>
      </c>
      <c r="Y210" s="40" t="s">
        <v>970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1361</v>
      </c>
      <c r="C211" s="171">
        <f>SUM(C201:C210)</f>
        <v>27483</v>
      </c>
      <c r="D211" s="262">
        <f>ROUND(SUM(D201:D210),0)</f>
        <v>0</v>
      </c>
      <c r="E211" s="17" t="s">
        <v>1362</v>
      </c>
      <c r="K211" s="40" t="s">
        <v>1016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1363</v>
      </c>
      <c r="B212" s="14" t="s">
        <v>1364</v>
      </c>
      <c r="C212" s="171">
        <f>IF(Troupeau!B3="OL",'Calcul éco'!K116,0)</f>
        <v>0</v>
      </c>
      <c r="D212" s="257">
        <f>ROUND(C212*D$82/C$82,0)</f>
        <v>0</v>
      </c>
      <c r="K212" s="40" t="s">
        <v>1365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1366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1160</v>
      </c>
      <c r="AP213" s="241"/>
      <c r="AQ213" s="240"/>
    </row>
    <row r="214" spans="1:43" x14ac:dyDescent="0.25">
      <c r="B214" s="14" t="s">
        <v>1367</v>
      </c>
      <c r="C214" s="171">
        <f>IF(Troupeau!B3="BV",'Calcul éco'!K116,0)+IF(Troupeau!C3="BV",'Calcul éco'!L116,0)</f>
        <v>10888.2</v>
      </c>
      <c r="D214" s="257">
        <f t="shared" si="106"/>
        <v>0</v>
      </c>
      <c r="H214" s="2" t="s">
        <v>1019</v>
      </c>
      <c r="AF214" s="5"/>
      <c r="AJ214" s="33" t="s">
        <v>1161</v>
      </c>
      <c r="AK214" s="33"/>
      <c r="AL214" s="33"/>
      <c r="AM214" s="33" t="s">
        <v>1162</v>
      </c>
      <c r="AN214" s="33" t="s">
        <v>1026</v>
      </c>
      <c r="AP214" s="241"/>
      <c r="AQ214" s="240"/>
    </row>
    <row r="215" spans="1:43" x14ac:dyDescent="0.25">
      <c r="B215" s="14" t="s">
        <v>1368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1369</v>
      </c>
      <c r="J215" t="s">
        <v>1370</v>
      </c>
      <c r="AF215" s="5"/>
      <c r="AI215" s="14" t="s">
        <v>1163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1371</v>
      </c>
      <c r="C216" s="171">
        <f>ROUND(SUM(C212:C215),0)</f>
        <v>10888</v>
      </c>
      <c r="D216" s="257">
        <f t="shared" si="106"/>
        <v>0</v>
      </c>
      <c r="G216" s="14" t="s">
        <v>559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9"/>
      <c r="L216" s="219"/>
      <c r="AF216" s="5"/>
      <c r="AI216" s="14" t="s">
        <v>1164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1372</v>
      </c>
      <c r="C217" s="171">
        <f>SUM('Calcul éco'!J122:J138)</f>
        <v>5788.24</v>
      </c>
      <c r="D217" s="257">
        <f t="shared" si="106"/>
        <v>0</v>
      </c>
      <c r="G217" s="19" t="s">
        <v>573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1165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1373</v>
      </c>
      <c r="C218" s="171">
        <f>SUM('Calcul éco'!J118:J119)</f>
        <v>12018.955882352941</v>
      </c>
      <c r="D218" s="257">
        <f t="shared" si="106"/>
        <v>0</v>
      </c>
      <c r="G218" s="14" t="s">
        <v>580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1126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1374</v>
      </c>
      <c r="C219" s="171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1127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1375</v>
      </c>
      <c r="C220" s="171">
        <f>'Calcul éco'!J142</f>
        <v>0</v>
      </c>
      <c r="D220" s="262">
        <f>SUM(AN215:AN219)</f>
        <v>0</v>
      </c>
      <c r="E220" s="17" t="s">
        <v>1376</v>
      </c>
      <c r="H220" s="14" t="s">
        <v>1021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1377</v>
      </c>
      <c r="C221" s="171">
        <f>ROUND(SUM(C216:C220),0)</f>
        <v>28695</v>
      </c>
      <c r="D221" s="262">
        <f>ROUND(SUM(D216:D220),0)</f>
        <v>0</v>
      </c>
      <c r="E221" s="17" t="s">
        <v>1376</v>
      </c>
      <c r="H221" s="14" t="s">
        <v>1022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1089</v>
      </c>
      <c r="B222" s="14" t="s">
        <v>1378</v>
      </c>
      <c r="C222" s="171">
        <f>'Calcul éco'!J149</f>
        <v>5296.5</v>
      </c>
      <c r="D222" s="257">
        <f>ROUND(C222*D$82/C$82,0)</f>
        <v>0</v>
      </c>
      <c r="K222" t="s">
        <v>1369</v>
      </c>
      <c r="L222" t="s">
        <v>1379</v>
      </c>
    </row>
    <row r="223" spans="1:43" x14ac:dyDescent="0.25">
      <c r="B223" s="14" t="s">
        <v>1091</v>
      </c>
      <c r="C223" s="171">
        <f>'Calcul éco'!J150</f>
        <v>2000</v>
      </c>
      <c r="D223" s="171">
        <f>C223</f>
        <v>2000</v>
      </c>
      <c r="J223" s="14" t="s">
        <v>1380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1119</v>
      </c>
      <c r="AM223" t="s">
        <v>1120</v>
      </c>
      <c r="AN223" t="s">
        <v>1121</v>
      </c>
      <c r="AO223" t="s">
        <v>1122</v>
      </c>
    </row>
    <row r="224" spans="1:43" x14ac:dyDescent="0.25">
      <c r="B224" s="14" t="s">
        <v>1092</v>
      </c>
      <c r="C224" s="171">
        <f>'Calcul éco'!J151</f>
        <v>5683</v>
      </c>
      <c r="D224" s="171">
        <f>C224</f>
        <v>5683</v>
      </c>
      <c r="G224" s="14"/>
      <c r="H224" s="14"/>
      <c r="J224" s="14" t="s">
        <v>1381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1123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1094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1382</v>
      </c>
      <c r="K225" s="30">
        <f>Scénario!K66</f>
        <v>0</v>
      </c>
      <c r="L225" s="30">
        <f>K225*'Synthèse résultats'!D$82/'Synthèse résultats'!C$82</f>
        <v>0</v>
      </c>
      <c r="AJ225" s="14" t="s">
        <v>1124</v>
      </c>
      <c r="AK225" s="30">
        <f>D183</f>
        <v>0</v>
      </c>
      <c r="AL225" t="s">
        <v>1125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1096</v>
      </c>
      <c r="C226" s="171">
        <f>'Calcul éco'!J153</f>
        <v>10873</v>
      </c>
      <c r="D226" s="257">
        <f>ROUND(C226*D$82/C$82,0)</f>
        <v>0</v>
      </c>
      <c r="G226" s="14"/>
      <c r="H226" s="14"/>
      <c r="AJ226" s="14" t="s">
        <v>1126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1098</v>
      </c>
      <c r="C227" s="171">
        <f>'Calcul éco'!J154</f>
        <v>7029</v>
      </c>
      <c r="D227" s="257">
        <f t="shared" ref="D227:D233" si="109">ROUND(C227*D$82/C$82,0)</f>
        <v>0</v>
      </c>
      <c r="AJ227" s="14" t="s">
        <v>1127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1128</v>
      </c>
      <c r="AR227" t="s">
        <v>1129</v>
      </c>
      <c r="AS227" t="s">
        <v>1130</v>
      </c>
      <c r="AT227" t="s">
        <v>1131</v>
      </c>
      <c r="AU227" t="s">
        <v>1132</v>
      </c>
      <c r="AV227" t="s">
        <v>1133</v>
      </c>
      <c r="AW227" t="s">
        <v>1134</v>
      </c>
    </row>
    <row r="228" spans="1:49" x14ac:dyDescent="0.25">
      <c r="B228" s="14" t="s">
        <v>1100</v>
      </c>
      <c r="C228" s="171"/>
      <c r="D228" s="257">
        <f t="shared" si="109"/>
        <v>0</v>
      </c>
      <c r="AN228" s="14" t="s">
        <v>1135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1103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1104</v>
      </c>
      <c r="C230" s="171">
        <f>'Calcul éco'!J158</f>
        <v>-760.2</v>
      </c>
      <c r="D230" s="257">
        <f t="shared" si="109"/>
        <v>0</v>
      </c>
    </row>
    <row r="231" spans="1:49" x14ac:dyDescent="0.25">
      <c r="B231" s="14" t="s">
        <v>1105</v>
      </c>
      <c r="C231" s="171">
        <f>'Calcul éco'!J159</f>
        <v>-75</v>
      </c>
      <c r="D231" s="257">
        <f t="shared" si="109"/>
        <v>0</v>
      </c>
      <c r="AJ231" s="14" t="s">
        <v>1136</v>
      </c>
      <c r="AK231" s="30">
        <f>D186</f>
        <v>0</v>
      </c>
      <c r="AL231" t="s">
        <v>1125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1106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1107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1383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1384</v>
      </c>
      <c r="C235" s="171">
        <f>'Calcul éco'!J167</f>
        <v>0</v>
      </c>
      <c r="D235" s="262">
        <f>(D191+D192)*8*[1]Eco!$B$106</f>
        <v>0</v>
      </c>
      <c r="E235" s="17" t="s">
        <v>1376</v>
      </c>
    </row>
    <row r="236" spans="1:49" x14ac:dyDescent="0.25">
      <c r="B236" s="14" t="s">
        <v>1385</v>
      </c>
      <c r="C236" s="171">
        <f>ROUND(SUM(C222:C235),0)</f>
        <v>30046</v>
      </c>
      <c r="D236" s="262">
        <f>ROUND(SUM(D222:D235),0)</f>
        <v>7683</v>
      </c>
      <c r="E236" s="17" t="s">
        <v>1386</v>
      </c>
    </row>
    <row r="237" spans="1:49" x14ac:dyDescent="0.25">
      <c r="A237" s="2" t="s">
        <v>1387</v>
      </c>
      <c r="B237" s="207" t="s">
        <v>1113</v>
      </c>
      <c r="C237" s="171">
        <f>C194+C211-C221-C236</f>
        <v>16035</v>
      </c>
      <c r="D237" s="262">
        <f>D194+D211-D221-D236</f>
        <v>-7683</v>
      </c>
    </row>
    <row r="238" spans="1:49" x14ac:dyDescent="0.25">
      <c r="B238" s="207" t="s">
        <v>1114</v>
      </c>
      <c r="C238" s="171">
        <f>ROUND(C237/Scénario!$K$4,0)</f>
        <v>16035</v>
      </c>
      <c r="D238" s="262" t="e">
        <f>ROUND(D237/D83,0)</f>
        <v>#DIV/0!</v>
      </c>
    </row>
    <row r="239" spans="1:49" x14ac:dyDescent="0.25">
      <c r="B239" s="207" t="s">
        <v>1115</v>
      </c>
      <c r="C239" s="171">
        <f>'Calcul éco'!B177</f>
        <v>6000</v>
      </c>
      <c r="D239" s="262">
        <f>C239</f>
        <v>6000</v>
      </c>
    </row>
    <row r="240" spans="1:49" x14ac:dyDescent="0.25">
      <c r="B240" s="207" t="s">
        <v>1116</v>
      </c>
      <c r="C240" s="265">
        <f>'Calcul éco'!B178</f>
        <v>0</v>
      </c>
      <c r="D240" s="266">
        <f>AW228+AW231</f>
        <v>0</v>
      </c>
      <c r="E240" s="17" t="s">
        <v>1376</v>
      </c>
    </row>
    <row r="241" spans="1:15" x14ac:dyDescent="0.25">
      <c r="B241" s="207" t="s">
        <v>1117</v>
      </c>
      <c r="C241" s="267">
        <f>ROUND(C237-C239-C240,0)</f>
        <v>10035</v>
      </c>
      <c r="D241" s="266">
        <f>ROUND(D237-D239-D240,0)</f>
        <v>-13683</v>
      </c>
    </row>
    <row r="242" spans="1:15" x14ac:dyDescent="0.25">
      <c r="B242" s="207" t="s">
        <v>1118</v>
      </c>
      <c r="C242" s="171">
        <f>ROUND(C241/Scénario!K4,0)</f>
        <v>10035</v>
      </c>
      <c r="D242" s="262" t="e">
        <f>ROUND(D241/D83,0)</f>
        <v>#DIV/0!</v>
      </c>
    </row>
    <row r="243" spans="1:15" x14ac:dyDescent="0.25">
      <c r="B243" s="207" t="s">
        <v>1388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1389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1390</v>
      </c>
      <c r="B245" s="14" t="s">
        <v>559</v>
      </c>
      <c r="C245" s="268">
        <f>Travail!F5</f>
        <v>257.25</v>
      </c>
      <c r="D245" s="171">
        <f>C245</f>
        <v>257.25</v>
      </c>
    </row>
    <row r="246" spans="1:15" x14ac:dyDescent="0.25">
      <c r="B246" s="14" t="s">
        <v>573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580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769</v>
      </c>
      <c r="B248" s="14" t="s">
        <v>559</v>
      </c>
      <c r="C248" s="268">
        <f>Travail!F9</f>
        <v>1263.2347840000004</v>
      </c>
      <c r="D248" s="262">
        <f>ROUND(SUM(AV163:BS163),1)</f>
        <v>0</v>
      </c>
    </row>
    <row r="249" spans="1:15" x14ac:dyDescent="0.25">
      <c r="B249" s="14" t="s">
        <v>573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580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772</v>
      </c>
      <c r="B251" s="14" t="s">
        <v>559</v>
      </c>
      <c r="C251" s="268">
        <f>Travail!F16</f>
        <v>0</v>
      </c>
      <c r="D251" s="171">
        <f>C251</f>
        <v>0</v>
      </c>
      <c r="J251" s="40" t="s">
        <v>797</v>
      </c>
      <c r="M251" s="5"/>
      <c r="N251" s="5"/>
      <c r="O251" s="169"/>
    </row>
    <row r="252" spans="1:15" x14ac:dyDescent="0.25">
      <c r="A252" s="43"/>
      <c r="B252" s="14" t="s">
        <v>573</v>
      </c>
      <c r="C252" s="268">
        <f>Travail!F17</f>
        <v>0</v>
      </c>
      <c r="D252" s="171">
        <f t="shared" ref="D252:D253" si="113">C252</f>
        <v>0</v>
      </c>
      <c r="J252" s="37" t="s">
        <v>798</v>
      </c>
      <c r="K252" s="169" t="s">
        <v>51</v>
      </c>
      <c r="L252" t="s">
        <v>799</v>
      </c>
      <c r="M252" s="5"/>
      <c r="N252" s="5"/>
      <c r="O252" s="169"/>
    </row>
    <row r="253" spans="1:15" x14ac:dyDescent="0.25">
      <c r="A253" s="43"/>
      <c r="B253" s="14" t="s">
        <v>580</v>
      </c>
      <c r="C253" s="268">
        <f>Travail!F18</f>
        <v>0</v>
      </c>
      <c r="D253" s="171">
        <f t="shared" si="113"/>
        <v>0</v>
      </c>
      <c r="J253" s="14" t="s">
        <v>801</v>
      </c>
      <c r="K253" s="171">
        <f>C91+C92</f>
        <v>2</v>
      </c>
      <c r="L253" s="186">
        <f>IF(K253&gt;[1]Trav!$E$116,[1]Trav!C116,[1]Trav!B116)</f>
        <v>11</v>
      </c>
      <c r="M253" s="5"/>
      <c r="N253" s="170"/>
      <c r="O253">
        <f>K253*L253</f>
        <v>22</v>
      </c>
    </row>
    <row r="254" spans="1:15" x14ac:dyDescent="0.25">
      <c r="A254" s="43" t="s">
        <v>779</v>
      </c>
      <c r="B254" s="14" t="s">
        <v>559</v>
      </c>
      <c r="C254" s="268">
        <f>Travail!F20</f>
        <v>0</v>
      </c>
      <c r="D254" s="171">
        <f>Travail!G20</f>
        <v>0</v>
      </c>
      <c r="J254" s="14" t="s">
        <v>803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573</v>
      </c>
      <c r="C255" s="268">
        <f>Travail!F21</f>
        <v>0</v>
      </c>
      <c r="D255" s="171">
        <f>Travail!G21</f>
        <v>0</v>
      </c>
      <c r="J255" s="32" t="s">
        <v>805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580</v>
      </c>
      <c r="C256" s="268">
        <f>Travail!F22</f>
        <v>0</v>
      </c>
      <c r="D256" s="171">
        <f>Travail!G22</f>
        <v>0</v>
      </c>
      <c r="J256" s="32" t="s">
        <v>806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782</v>
      </c>
      <c r="B257" s="14" t="s">
        <v>559</v>
      </c>
      <c r="C257" s="268">
        <f>Travail!F31</f>
        <v>312</v>
      </c>
      <c r="D257" s="257">
        <f>ROUND(C257*D$82/C$82,0)</f>
        <v>0</v>
      </c>
      <c r="E257" s="17" t="s">
        <v>1391</v>
      </c>
      <c r="J257" s="32" t="s">
        <v>807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573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808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580</v>
      </c>
      <c r="C259" s="268">
        <f>Travail!F33</f>
        <v>0</v>
      </c>
      <c r="D259" s="257">
        <f t="shared" si="115"/>
        <v>0</v>
      </c>
      <c r="J259" s="32" t="s">
        <v>809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785</v>
      </c>
      <c r="B260" s="14" t="s">
        <v>559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1392</v>
      </c>
      <c r="J260" s="32" t="s">
        <v>810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790</v>
      </c>
      <c r="B261" s="14" t="s">
        <v>559</v>
      </c>
      <c r="C261" s="268">
        <f>Travail!F39</f>
        <v>0</v>
      </c>
      <c r="D261" s="257">
        <f>ROUND(C261*G63,0)</f>
        <v>0</v>
      </c>
      <c r="E261" s="17" t="s">
        <v>1393</v>
      </c>
      <c r="J261" s="32" t="s">
        <v>811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1394</v>
      </c>
      <c r="B262" s="14" t="s">
        <v>801</v>
      </c>
      <c r="C262" s="268">
        <f>Travail!F50</f>
        <v>22</v>
      </c>
      <c r="D262" s="262">
        <f t="shared" ref="D262:D271" si="116">ROUND(K253*L253,0)</f>
        <v>22</v>
      </c>
      <c r="E262" s="17" t="s">
        <v>1395</v>
      </c>
      <c r="J262" s="32" t="s">
        <v>813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803</v>
      </c>
      <c r="C263" s="268">
        <f>Travail!F51</f>
        <v>24</v>
      </c>
      <c r="D263" s="262">
        <f t="shared" si="116"/>
        <v>0</v>
      </c>
    </row>
    <row r="264" spans="1:15" x14ac:dyDescent="0.25">
      <c r="B264" s="32" t="s">
        <v>805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806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807</v>
      </c>
      <c r="C266" s="268">
        <f>Travail!F54</f>
        <v>64</v>
      </c>
      <c r="D266" s="262">
        <f t="shared" si="116"/>
        <v>0</v>
      </c>
    </row>
    <row r="267" spans="1:15" x14ac:dyDescent="0.25">
      <c r="B267" s="32" t="s">
        <v>808</v>
      </c>
      <c r="C267" s="268">
        <f>Travail!F55</f>
        <v>43</v>
      </c>
      <c r="D267" s="262">
        <f t="shared" si="116"/>
        <v>0</v>
      </c>
    </row>
    <row r="268" spans="1:15" x14ac:dyDescent="0.25">
      <c r="B268" s="32" t="s">
        <v>809</v>
      </c>
      <c r="C268" s="268">
        <f>Travail!F56</f>
        <v>25</v>
      </c>
      <c r="D268" s="262">
        <f t="shared" si="116"/>
        <v>0</v>
      </c>
    </row>
    <row r="269" spans="1:15" x14ac:dyDescent="0.25">
      <c r="B269" s="32" t="s">
        <v>810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811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813</v>
      </c>
      <c r="C271" s="268">
        <f>Travail!F59</f>
        <v>29</v>
      </c>
      <c r="D271" s="262">
        <f t="shared" si="116"/>
        <v>0</v>
      </c>
    </row>
    <row r="272" spans="1:15" x14ac:dyDescent="0.25">
      <c r="A272" s="23" t="s">
        <v>1396</v>
      </c>
      <c r="B272" s="32" t="s">
        <v>817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818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1397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1398</v>
      </c>
      <c r="B275" s="32" t="s">
        <v>1399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1400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1401</v>
      </c>
      <c r="C277" s="268">
        <f>Travail!F75+Travail!F81</f>
        <v>0</v>
      </c>
      <c r="D277" s="171">
        <f>C277</f>
        <v>0</v>
      </c>
    </row>
    <row r="278" spans="1:4" x14ac:dyDescent="0.25">
      <c r="B278" s="32" t="s">
        <v>1402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1403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1404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1405</v>
      </c>
      <c r="B281" s="14" t="s">
        <v>1406</v>
      </c>
      <c r="C281" s="171">
        <f>ROUND(C245+C248+C251+C254+C257+C260+C261,0)</f>
        <v>1832</v>
      </c>
      <c r="D281" s="262">
        <f>ROUND(D245+D248+D251+D254+D257+D260+D261,0)</f>
        <v>257</v>
      </c>
    </row>
    <row r="282" spans="1:4" x14ac:dyDescent="0.25">
      <c r="B282" s="14" t="s">
        <v>1407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1408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1409</v>
      </c>
      <c r="C284" s="171">
        <f>ROUND(C281/Troupeau!$B$17,2)</f>
        <v>31.59</v>
      </c>
      <c r="D284" s="171" t="e">
        <f>ROUND(D281/(Troupeau!$B$17*G63),2)</f>
        <v>#DIV/0!</v>
      </c>
    </row>
    <row r="285" spans="1:4" x14ac:dyDescent="0.25">
      <c r="B285" s="14" t="s">
        <v>1410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1411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1412</v>
      </c>
      <c r="C287" s="171">
        <f>SUM(C281:C283)</f>
        <v>1832</v>
      </c>
      <c r="D287" s="262">
        <f>SUM(D281:D283)</f>
        <v>257</v>
      </c>
    </row>
    <row r="288" spans="1:4" x14ac:dyDescent="0.25">
      <c r="B288" s="14" t="s">
        <v>1413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1414</v>
      </c>
      <c r="C289" s="171">
        <f>SUM(C262:C271)</f>
        <v>208</v>
      </c>
      <c r="D289" s="262">
        <f>SUM(D262:D271)</f>
        <v>22</v>
      </c>
    </row>
    <row r="290" spans="2:4" x14ac:dyDescent="0.25">
      <c r="B290" s="14" t="s">
        <v>1415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1416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894</v>
      </c>
      <c r="C292" s="171">
        <f>ROUND(SUM(C287:C291),0)</f>
        <v>2440</v>
      </c>
      <c r="D292" s="262">
        <f>ROUND(SUM(D287:D291),0)</f>
        <v>679</v>
      </c>
    </row>
    <row r="293" spans="2:4" x14ac:dyDescent="0.25">
      <c r="B293" s="14" t="s">
        <v>895</v>
      </c>
      <c r="C293" s="171">
        <f>ROUND(IF(Scénario!$K$129=1,SUM(C275:C280),SUM(C278:C280)),0)</f>
        <v>0</v>
      </c>
      <c r="D293" s="171">
        <f>ROUND(IF(Scénario!$K$129=1,SUM(D275:D280),SUM(D278:D280)),0)</f>
        <v>0</v>
      </c>
    </row>
    <row r="294" spans="2:4" x14ac:dyDescent="0.25">
      <c r="B294" s="14" t="s">
        <v>896</v>
      </c>
      <c r="C294" s="171">
        <f>ROUND((C292-C293)/C83,0)</f>
        <v>2440</v>
      </c>
      <c r="D294" s="171" t="e">
        <f>ROUND((D292-D293)/D83,0)</f>
        <v>#DIV/0!</v>
      </c>
    </row>
    <row r="295" spans="2:4" x14ac:dyDescent="0.25">
      <c r="B295" s="14" t="s">
        <v>1432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71">
        <f>IF(Troupeau!$B$3="OL",CdTrp1!AA220,0)</f>
        <v>0</v>
      </c>
    </row>
    <row r="299" spans="2:4" x14ac:dyDescent="0.25">
      <c r="B299" s="14" t="s">
        <v>1436</v>
      </c>
      <c r="C299" s="171">
        <f>IF(Troupeau!$B$3="OL",CdTrp1!AA221,0)</f>
        <v>0</v>
      </c>
    </row>
    <row r="300" spans="2:4" x14ac:dyDescent="0.25">
      <c r="B300" s="14" t="s">
        <v>1437</v>
      </c>
      <c r="C300" s="171">
        <f>IF(Troupeau!$B$3="BV",CdTrp1!AA220,0)+IF(Troupeau!$C$3="BV",CdTrp2!AA220,0)</f>
        <v>175.03368324999991</v>
      </c>
    </row>
    <row r="301" spans="2:4" x14ac:dyDescent="0.25">
      <c r="B301" s="14" t="s">
        <v>1438</v>
      </c>
      <c r="C301" s="171">
        <f>IF(Troupeau!$B$3="BV",CdTrp1!AA221,0)+IF(Troupeau!$C$3="BV",CdTrp2!AA221,0)</f>
        <v>0</v>
      </c>
    </row>
    <row r="302" spans="2:4" x14ac:dyDescent="0.25">
      <c r="B302" s="14" t="s">
        <v>1439</v>
      </c>
      <c r="C302" s="171">
        <f>IF(Troupeau!$B$3="VL",CdTrp1!AA220,0)</f>
        <v>0</v>
      </c>
    </row>
    <row r="303" spans="2:4" x14ac:dyDescent="0.25">
      <c r="B303" s="14" t="s">
        <v>1440</v>
      </c>
      <c r="C303" s="171">
        <f>'Alim -Surf'!H10</f>
        <v>21</v>
      </c>
    </row>
    <row r="304" spans="2:4" x14ac:dyDescent="0.25">
      <c r="B304" s="14" t="s">
        <v>1441</v>
      </c>
      <c r="C304" s="171">
        <f>Protection!BL31+Protection!BK31</f>
        <v>65.5</v>
      </c>
    </row>
    <row r="305" spans="2:3" x14ac:dyDescent="0.25">
      <c r="B305" s="14" t="s">
        <v>1442</v>
      </c>
      <c r="C305" s="171">
        <f>Protection!BJ31</f>
        <v>2.5</v>
      </c>
    </row>
    <row r="306" spans="2:3" x14ac:dyDescent="0.25">
      <c r="B306" s="14" t="s">
        <v>1443</v>
      </c>
      <c r="C306" s="171">
        <f>'Calcul éco'!X233</f>
        <v>0</v>
      </c>
    </row>
    <row r="307" spans="2:3" x14ac:dyDescent="0.25">
      <c r="B307" s="14" t="s">
        <v>1444</v>
      </c>
      <c r="C307" s="171">
        <f>'Calcul éco'!X234</f>
        <v>0</v>
      </c>
    </row>
    <row r="308" spans="2:3" x14ac:dyDescent="0.25">
      <c r="B308" s="14" t="s">
        <v>1445</v>
      </c>
      <c r="C308" s="171">
        <f>'Calcul éco'!X235</f>
        <v>0</v>
      </c>
    </row>
    <row r="309" spans="2:3" x14ac:dyDescent="0.25">
      <c r="B309" s="14" t="s">
        <v>1446</v>
      </c>
      <c r="C309" s="171">
        <f>'Calcul éco'!X236</f>
        <v>0</v>
      </c>
    </row>
    <row r="310" spans="2:3" x14ac:dyDescent="0.25">
      <c r="B310" s="14" t="s">
        <v>1447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448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449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58</v>
      </c>
      <c r="C17" s="60"/>
      <c r="D17" s="60"/>
      <c r="E17" s="60"/>
      <c r="H17" s="2" t="s">
        <v>151</v>
      </c>
      <c r="I17" s="22"/>
      <c r="J17" s="60">
        <v>52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52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8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8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16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24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65.299999999999983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2.8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4.8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6.4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14.151999999999999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0.24399999999999999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14.8596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4558.7999999999993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78.599999999999994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1948.8000000000002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33.6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3696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462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1584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198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3801.6000000000004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158.4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3801.6000000000004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158.4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528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264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132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66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H123" sqref="H123:I12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21"/>
      <c r="AA1" t="s">
        <v>175</v>
      </c>
      <c r="AK1" t="s">
        <v>1420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1421</v>
      </c>
      <c r="AI2" s="1">
        <v>50</v>
      </c>
      <c r="AK2" s="50" t="s">
        <v>450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455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7">
        <f>+Troupeau!J17</f>
        <v>52</v>
      </c>
      <c r="AK4" s="50" t="s">
        <v>456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8.2352941176470598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1422</v>
      </c>
    </row>
    <row r="14" spans="1:61" x14ac:dyDescent="0.25">
      <c r="A14" s="44" t="s">
        <v>171</v>
      </c>
      <c r="AK14" s="52" t="s">
        <v>1423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450</v>
      </c>
      <c r="B15" s="60">
        <f>CdTrp1!AL2*Troupeau!$B$17/CdTrp1!$AI$2</f>
        <v>44.08</v>
      </c>
      <c r="C15" s="60">
        <f>CdTrp1!AM2*Troupeau!$B$17/CdTrp1!$AI$2</f>
        <v>44.08</v>
      </c>
      <c r="D15" s="60">
        <f>CdTrp1!AN2*Troupeau!$B$17/CdTrp1!$AI$2</f>
        <v>44.08</v>
      </c>
      <c r="E15" s="60">
        <f>CdTrp1!AO2*Troupeau!$B$17/CdTrp1!$AI$2</f>
        <v>44.08</v>
      </c>
      <c r="F15" s="60">
        <f>CdTrp1!AP2*Troupeau!$B$17/CdTrp1!$AI$2</f>
        <v>41.76</v>
      </c>
      <c r="G15" s="60">
        <f>CdTrp1!AQ2*Troupeau!$B$17/CdTrp1!$AI$2</f>
        <v>39.44</v>
      </c>
      <c r="H15" s="60">
        <f>CdTrp1!AR2*Troupeau!$B$17/CdTrp1!$AI$2</f>
        <v>37.119999999999997</v>
      </c>
      <c r="I15" s="60">
        <f>CdTrp1!AS2*Troupeau!$B$17/CdTrp1!$AI$2</f>
        <v>34.799999999999997</v>
      </c>
      <c r="J15" s="60">
        <f>CdTrp1!AT2*Troupeau!$B$17/CdTrp1!$AI$2</f>
        <v>33.64</v>
      </c>
      <c r="K15" s="60">
        <f>CdTrp1!AU2*Troupeau!$B$17/CdTrp1!$AI$2</f>
        <v>32.479999999999997</v>
      </c>
      <c r="L15" s="60">
        <f>CdTrp1!AV2*Troupeau!$B$17/CdTrp1!$AI$2</f>
        <v>31.32</v>
      </c>
      <c r="M15" s="60">
        <f>CdTrp1!AW2*Troupeau!$B$17/CdTrp1!$AI$2</f>
        <v>31.32</v>
      </c>
      <c r="N15" s="60">
        <f>CdTrp1!AX2*Troupeau!$B$17/CdTrp1!$AI$2</f>
        <v>31.32</v>
      </c>
      <c r="O15" s="60">
        <f>CdTrp1!AY2*Troupeau!$B$17/CdTrp1!$AI$2</f>
        <v>31.32</v>
      </c>
      <c r="P15" s="60">
        <f>CdTrp1!AZ2*Troupeau!$B$17/CdTrp1!$AI$2</f>
        <v>30.16</v>
      </c>
      <c r="Q15" s="60">
        <f>CdTrp1!BA2*Troupeau!$B$17/CdTrp1!$AI$2</f>
        <v>30.16</v>
      </c>
      <c r="R15" s="60">
        <f>CdTrp1!BB2*Troupeau!$B$17/CdTrp1!$AI$2</f>
        <v>31.32</v>
      </c>
      <c r="S15" s="60">
        <f>CdTrp1!BC2*Troupeau!$B$17/CdTrp1!$AI$2</f>
        <v>32.479999999999997</v>
      </c>
      <c r="T15" s="60">
        <f>CdTrp1!BD2*Troupeau!$B$17/CdTrp1!$AI$2</f>
        <v>34.799999999999997</v>
      </c>
      <c r="U15" s="60">
        <f>CdTrp1!BE2*Troupeau!$B$17/CdTrp1!$AI$2</f>
        <v>37.119999999999997</v>
      </c>
      <c r="V15" s="60">
        <f>CdTrp1!BF2*Troupeau!$B$17/CdTrp1!$AI$2</f>
        <v>40.6</v>
      </c>
      <c r="W15" s="60">
        <f>CdTrp1!BG2*Troupeau!$B$17/CdTrp1!$AI$2</f>
        <v>42.92</v>
      </c>
      <c r="X15" s="60">
        <f>CdTrp1!BH2*Troupeau!$B$17/CdTrp1!$AI$2</f>
        <v>44.08</v>
      </c>
      <c r="Y15" s="60">
        <f>CdTrp1!BI2*Troupeau!$B$17/CdTrp1!$AI$2</f>
        <v>44.08</v>
      </c>
      <c r="Z15" s="52"/>
    </row>
    <row r="16" spans="1:61" x14ac:dyDescent="0.25">
      <c r="A16" s="50" t="s">
        <v>455</v>
      </c>
      <c r="B16" s="60">
        <f>CdTrp1!AL3*Troupeau!$B$17/CdTrp1!$AI$2</f>
        <v>27.84</v>
      </c>
      <c r="C16" s="60">
        <f>CdTrp1!AM3*Troupeau!$B$17/CdTrp1!$AI$2</f>
        <v>27.84</v>
      </c>
      <c r="D16" s="60">
        <f>CdTrp1!AN3*Troupeau!$B$17/CdTrp1!$AI$2</f>
        <v>27.84</v>
      </c>
      <c r="E16" s="60">
        <f>CdTrp1!AO3*Troupeau!$B$17/CdTrp1!$AI$2</f>
        <v>27.84</v>
      </c>
      <c r="F16" s="60">
        <f>CdTrp1!AP3*Troupeau!$B$17/CdTrp1!$AI$2</f>
        <v>27.84</v>
      </c>
      <c r="G16" s="60">
        <f>CdTrp1!AQ3*Troupeau!$B$17/CdTrp1!$AI$2</f>
        <v>27.84</v>
      </c>
      <c r="H16" s="60">
        <f>CdTrp1!AR3*Troupeau!$B$17/CdTrp1!$AI$2</f>
        <v>27.84</v>
      </c>
      <c r="I16" s="60">
        <f>CdTrp1!AS3*Troupeau!$B$17/CdTrp1!$AI$2</f>
        <v>27.84</v>
      </c>
      <c r="J16" s="60">
        <f>CdTrp1!AT3*Troupeau!$B$17/CdTrp1!$AI$2</f>
        <v>27.84</v>
      </c>
      <c r="K16" s="60">
        <f>CdTrp1!AU3*Troupeau!$B$17/CdTrp1!$AI$2</f>
        <v>27.84</v>
      </c>
      <c r="L16" s="60">
        <f>CdTrp1!AV3*Troupeau!$B$17/CdTrp1!$AI$2</f>
        <v>27.84</v>
      </c>
      <c r="M16" s="60">
        <f>CdTrp1!AW3*Troupeau!$B$17/CdTrp1!$AI$2</f>
        <v>27.84</v>
      </c>
      <c r="N16" s="60">
        <f>CdTrp1!AX3*Troupeau!$B$17/CdTrp1!$AI$2</f>
        <v>27.84</v>
      </c>
      <c r="O16" s="60">
        <f>CdTrp1!AY3*Troupeau!$B$17/CdTrp1!$AI$2</f>
        <v>27.84</v>
      </c>
      <c r="P16" s="60">
        <f>CdTrp1!AZ3*Troupeau!$B$17/CdTrp1!$AI$2</f>
        <v>27.84</v>
      </c>
      <c r="Q16" s="60">
        <f>CdTrp1!BA3*Troupeau!$B$17/CdTrp1!$AI$2</f>
        <v>27.84</v>
      </c>
      <c r="R16" s="60">
        <f>CdTrp1!BB3*Troupeau!$B$17/CdTrp1!$AI$2</f>
        <v>27.84</v>
      </c>
      <c r="S16" s="60">
        <f>CdTrp1!BC3*Troupeau!$B$17/CdTrp1!$AI$2</f>
        <v>27.84</v>
      </c>
      <c r="T16" s="60">
        <f>CdTrp1!BD3*Troupeau!$B$17/CdTrp1!$AI$2</f>
        <v>27.84</v>
      </c>
      <c r="U16" s="60">
        <f>CdTrp1!BE3*Troupeau!$B$17/CdTrp1!$AI$2</f>
        <v>27.84</v>
      </c>
      <c r="V16" s="60">
        <f>CdTrp1!BF3*Troupeau!$B$17/CdTrp1!$AI$2</f>
        <v>27.84</v>
      </c>
      <c r="W16" s="60">
        <f>CdTrp1!BG3*Troupeau!$B$17/CdTrp1!$AI$2</f>
        <v>27.84</v>
      </c>
      <c r="X16" s="60">
        <f>CdTrp1!BH3*Troupeau!$B$17/CdTrp1!$AI$2</f>
        <v>27.84</v>
      </c>
      <c r="Y16" s="60">
        <f>CdTrp1!BI3*Troupeau!$B$17/CdTrp1!$AI$2</f>
        <v>27.84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456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1.1599999999999999</v>
      </c>
      <c r="F17" s="60">
        <f>CdTrp1!AP4*Troupeau!$B$17/CdTrp1!$AI$2</f>
        <v>2.3199999999999998</v>
      </c>
      <c r="G17" s="60">
        <f>CdTrp1!AQ4*Troupeau!$B$17/CdTrp1!$AI$2</f>
        <v>5.8</v>
      </c>
      <c r="H17" s="60">
        <f>CdTrp1!AR4*Troupeau!$B$17/CdTrp1!$AI$2</f>
        <v>9.2799999999999994</v>
      </c>
      <c r="I17" s="60">
        <f>CdTrp1!AS4*Troupeau!$B$17/CdTrp1!$AI$2</f>
        <v>12.76</v>
      </c>
      <c r="J17" s="60">
        <f>CdTrp1!AT4*Troupeau!$B$17/CdTrp1!$AI$2</f>
        <v>12.76</v>
      </c>
      <c r="K17" s="60">
        <f>CdTrp1!AU4*Troupeau!$B$17/CdTrp1!$AI$2</f>
        <v>12.76</v>
      </c>
      <c r="L17" s="60">
        <f>CdTrp1!AV4*Troupeau!$B$17/CdTrp1!$AI$2</f>
        <v>13.92</v>
      </c>
      <c r="M17" s="60">
        <f>CdTrp1!AW4*Troupeau!$B$17/CdTrp1!$AI$2</f>
        <v>13.92</v>
      </c>
      <c r="N17" s="60">
        <f>CdTrp1!AX4*Troupeau!$B$17/CdTrp1!$AI$2</f>
        <v>13.92</v>
      </c>
      <c r="O17" s="60">
        <f>CdTrp1!AY4*Troupeau!$B$17/CdTrp1!$AI$2</f>
        <v>13.92</v>
      </c>
      <c r="P17" s="60">
        <f>CdTrp1!AZ4*Troupeau!$B$17/CdTrp1!$AI$2</f>
        <v>13.92</v>
      </c>
      <c r="Q17" s="60">
        <f>CdTrp1!BA4*Troupeau!$B$17/CdTrp1!$AI$2</f>
        <v>13.92</v>
      </c>
      <c r="R17" s="60">
        <f>CdTrp1!BB4*Troupeau!$B$17/CdTrp1!$AI$2</f>
        <v>12.76</v>
      </c>
      <c r="S17" s="60">
        <f>CdTrp1!BC4*Troupeau!$B$17/CdTrp1!$AI$2</f>
        <v>11.6</v>
      </c>
      <c r="T17" s="60">
        <f>CdTrp1!BD4*Troupeau!$B$17/CdTrp1!$AI$2</f>
        <v>9.2799999999999994</v>
      </c>
      <c r="U17" s="60">
        <f>CdTrp1!BE4*Troupeau!$B$17/CdTrp1!$AI$2</f>
        <v>6.96</v>
      </c>
      <c r="V17" s="60">
        <f>CdTrp1!BF4*Troupeau!$B$17/CdTrp1!$AI$2</f>
        <v>3.48</v>
      </c>
      <c r="W17" s="60">
        <f>CdTrp1!BG4*Troupeau!$B$17/CdTrp1!$AI$2</f>
        <v>1.1599999999999999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2.3199999999999998</v>
      </c>
      <c r="G18" s="60">
        <f>CdTrp1!AQ5*Troupeau!$B$17/CdTrp1!$AI$2</f>
        <v>4.6399999999999997</v>
      </c>
      <c r="H18" s="60">
        <f>CdTrp1!AR5*Troupeau!$B$17/CdTrp1!$AI$2</f>
        <v>6.96</v>
      </c>
      <c r="I18" s="60">
        <f>CdTrp1!AS5*Troupeau!$B$17/CdTrp1!$AI$2</f>
        <v>9.2799999999999994</v>
      </c>
      <c r="J18" s="60">
        <f>CdTrp1!AT5*Troupeau!$B$17/CdTrp1!$AI$2</f>
        <v>10.44</v>
      </c>
      <c r="K18" s="60">
        <f>CdTrp1!AU5*Troupeau!$B$17/CdTrp1!$AI$2</f>
        <v>11.6</v>
      </c>
      <c r="L18" s="60">
        <f>CdTrp1!AV5*Troupeau!$B$17/CdTrp1!$AI$2</f>
        <v>12.76</v>
      </c>
      <c r="M18" s="60">
        <f>CdTrp1!AW5*Troupeau!$B$17/CdTrp1!$AI$2</f>
        <v>12.76</v>
      </c>
      <c r="N18" s="60">
        <f>CdTrp1!AX5*Troupeau!$B$17/CdTrp1!$AI$2</f>
        <v>12.76</v>
      </c>
      <c r="O18" s="60">
        <f>CdTrp1!AY5*Troupeau!$B$17/CdTrp1!$AI$2</f>
        <v>12.76</v>
      </c>
      <c r="P18" s="60">
        <f>CdTrp1!AZ5*Troupeau!$B$17/CdTrp1!$AI$2</f>
        <v>12.76</v>
      </c>
      <c r="Q18" s="60">
        <f>CdTrp1!BA5*Troupeau!$B$17/CdTrp1!$AI$2</f>
        <v>11.6</v>
      </c>
      <c r="R18" s="60">
        <f>CdTrp1!BB5*Troupeau!$B$17/CdTrp1!$AI$2</f>
        <v>10.44</v>
      </c>
      <c r="S18" s="60">
        <f>CdTrp1!BC5*Troupeau!$B$17/CdTrp1!$AI$2</f>
        <v>10.44</v>
      </c>
      <c r="T18" s="60">
        <f>CdTrp1!BD5*Troupeau!$B$17/CdTrp1!$AI$2</f>
        <v>6.96</v>
      </c>
      <c r="U18" s="60">
        <f>CdTrp1!BE5*Troupeau!$B$17/CdTrp1!$AI$2</f>
        <v>5.8</v>
      </c>
      <c r="V18" s="60">
        <f>CdTrp1!BF5*Troupeau!$B$17/CdTrp1!$AI$2</f>
        <v>3.48</v>
      </c>
      <c r="W18" s="60">
        <f>CdTrp1!BG5*Troupeau!$B$17/CdTrp1!$AI$2</f>
        <v>2.3199999999999998</v>
      </c>
      <c r="X18" s="60">
        <f>CdTrp1!BH5*Troupeau!$B$17/CdTrp1!$AI$2</f>
        <v>1.1599999999999999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4558.7999999999993</v>
      </c>
      <c r="AK18" s="54">
        <f>IF($AH18=AK$17,ROUND($AI18/1000,1),0)</f>
        <v>4.5999999999999996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1450</v>
      </c>
      <c r="B19" s="60">
        <f>B15</f>
        <v>44.08</v>
      </c>
      <c r="C19" s="60">
        <f t="shared" ref="C19:I19" si="2">C15</f>
        <v>44.08</v>
      </c>
      <c r="D19" s="60">
        <f t="shared" si="2"/>
        <v>44.08</v>
      </c>
      <c r="E19" s="60">
        <f t="shared" si="2"/>
        <v>44.08</v>
      </c>
      <c r="F19" s="60">
        <f t="shared" si="2"/>
        <v>41.76</v>
      </c>
      <c r="G19" s="60">
        <f t="shared" si="2"/>
        <v>39.44</v>
      </c>
      <c r="H19" s="60">
        <f t="shared" si="2"/>
        <v>37.119999999999997</v>
      </c>
      <c r="I19" s="60">
        <f t="shared" si="2"/>
        <v>34.799999999999997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>
        <f>T15</f>
        <v>34.799999999999997</v>
      </c>
      <c r="U19" s="60">
        <f t="shared" ref="U19:Y19" si="3">U15</f>
        <v>37.119999999999997</v>
      </c>
      <c r="V19" s="60">
        <f t="shared" si="3"/>
        <v>40.6</v>
      </c>
      <c r="W19" s="60">
        <f t="shared" si="3"/>
        <v>42.92</v>
      </c>
      <c r="X19" s="60">
        <f t="shared" si="3"/>
        <v>44.08</v>
      </c>
      <c r="Y19" s="60">
        <f t="shared" si="3"/>
        <v>44.08</v>
      </c>
      <c r="Z19" s="52"/>
      <c r="AC19" t="s">
        <v>376</v>
      </c>
      <c r="AE19" s="17">
        <v>3</v>
      </c>
      <c r="AG19" s="126" t="str">
        <f>HLOOKUP(AF$4,[1]Anx!$C$86:$CO$121,AE19)</f>
        <v>3 -graines protéagineux</v>
      </c>
      <c r="AH19" s="61">
        <f t="shared" ref="AH19:AH52" si="4">VALUE(LEFT(AG19,2))</f>
        <v>3</v>
      </c>
      <c r="AI19" s="129">
        <f>Troupeau!B73</f>
        <v>1948.8000000000002</v>
      </c>
      <c r="AK19" s="54">
        <f t="shared" ref="AK19:AK52" si="5">IF($AH19=AK$17,ROUND($AI19/1000,1),0)</f>
        <v>0</v>
      </c>
      <c r="AL19" s="54">
        <f t="shared" ref="AL19:BA34" si="6">IF($AH19=AL$17,ROUND($AI19/1000,1),0)</f>
        <v>0</v>
      </c>
      <c r="AM19" s="54">
        <f t="shared" si="6"/>
        <v>1.9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4"/>
        <v>0</v>
      </c>
      <c r="AI20" s="129">
        <f>Troupeau!B74</f>
        <v>0</v>
      </c>
      <c r="AK20" s="54">
        <f t="shared" si="5"/>
        <v>0</v>
      </c>
      <c r="AL20" s="54">
        <f t="shared" si="6"/>
        <v>0</v>
      </c>
      <c r="AM20" s="54">
        <f t="shared" si="6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4"/>
        <v>0</v>
      </c>
      <c r="AI21" s="129">
        <f>Troupeau!B75</f>
        <v>0</v>
      </c>
      <c r="AK21" s="54">
        <f t="shared" si="5"/>
        <v>0</v>
      </c>
      <c r="AL21" s="54">
        <f t="shared" si="6"/>
        <v>0</v>
      </c>
      <c r="AM21" s="54">
        <f t="shared" si="6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4"/>
        <v>0</v>
      </c>
      <c r="AI22" s="129">
        <f>Troupeau!B76</f>
        <v>0</v>
      </c>
      <c r="AK22" s="54">
        <f t="shared" si="5"/>
        <v>0</v>
      </c>
      <c r="AL22" s="54">
        <f t="shared" si="6"/>
        <v>0</v>
      </c>
      <c r="AM22" s="54">
        <f t="shared" si="6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4"/>
        <v>2</v>
      </c>
      <c r="AI23" s="129">
        <f>Troupeau!B77</f>
        <v>3696</v>
      </c>
      <c r="AK23" s="54">
        <f t="shared" si="5"/>
        <v>0</v>
      </c>
      <c r="AL23" s="54">
        <f t="shared" si="6"/>
        <v>3.7</v>
      </c>
      <c r="AM23" s="54">
        <f t="shared" si="6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3 -graines protéagineux</v>
      </c>
      <c r="AH24" s="61">
        <f t="shared" si="4"/>
        <v>3</v>
      </c>
      <c r="AI24" s="129">
        <f>Troupeau!B78</f>
        <v>1584</v>
      </c>
      <c r="AK24" s="54">
        <f t="shared" si="5"/>
        <v>0</v>
      </c>
      <c r="AL24" s="54">
        <f t="shared" si="6"/>
        <v>0</v>
      </c>
      <c r="AM24" s="54">
        <f t="shared" si="6"/>
        <v>1.6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4"/>
        <v>8</v>
      </c>
      <c r="AI25" s="129">
        <f>Troupeau!B79</f>
        <v>0</v>
      </c>
      <c r="AK25" s="54">
        <f t="shared" si="5"/>
        <v>0</v>
      </c>
      <c r="AL25" s="54">
        <f t="shared" si="6"/>
        <v>0</v>
      </c>
      <c r="AM25" s="54">
        <f t="shared" si="6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4"/>
        <v>0</v>
      </c>
      <c r="AI26" s="129">
        <f>Troupeau!B80</f>
        <v>0</v>
      </c>
      <c r="AK26" s="54">
        <f t="shared" si="5"/>
        <v>0</v>
      </c>
      <c r="AL26" s="54">
        <f t="shared" si="6"/>
        <v>0</v>
      </c>
      <c r="AM26" s="54">
        <f t="shared" si="6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7">IF($AH26=CA$17,ROUND($AI26/1000,1),0)</f>
        <v>0</v>
      </c>
      <c r="CB26" s="54">
        <f t="shared" si="7"/>
        <v>0</v>
      </c>
      <c r="CC26" s="54">
        <f t="shared" si="7"/>
        <v>0</v>
      </c>
      <c r="CD26" s="54">
        <f t="shared" si="7"/>
        <v>0</v>
      </c>
      <c r="CE26" s="54">
        <f t="shared" si="7"/>
        <v>0</v>
      </c>
    </row>
    <row r="27" spans="1:83" x14ac:dyDescent="0.25">
      <c r="A27" s="127" t="str">
        <f>A$15</f>
        <v>Vaches lots principal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4"/>
        <v>0</v>
      </c>
      <c r="AI27" s="129">
        <f>Troupeau!B81</f>
        <v>0</v>
      </c>
      <c r="AK27" s="54">
        <f t="shared" si="5"/>
        <v>0</v>
      </c>
      <c r="AL27" s="54">
        <f t="shared" si="6"/>
        <v>0</v>
      </c>
      <c r="AM27" s="54">
        <f t="shared" si="6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7"/>
        <v>0</v>
      </c>
      <c r="BD27" s="54">
        <f t="shared" si="7"/>
        <v>0</v>
      </c>
      <c r="BE27" s="54">
        <f t="shared" si="7"/>
        <v>0</v>
      </c>
      <c r="BF27" s="54">
        <f t="shared" si="7"/>
        <v>0</v>
      </c>
      <c r="BG27" s="54">
        <f t="shared" si="7"/>
        <v>0</v>
      </c>
      <c r="BH27" s="54">
        <f t="shared" si="7"/>
        <v>0</v>
      </c>
      <c r="BI27" s="54">
        <f t="shared" si="7"/>
        <v>0</v>
      </c>
      <c r="BJ27" s="54">
        <f t="shared" si="7"/>
        <v>0</v>
      </c>
      <c r="BK27" s="54">
        <f t="shared" si="7"/>
        <v>0</v>
      </c>
      <c r="BL27" s="54">
        <f t="shared" si="7"/>
        <v>0</v>
      </c>
      <c r="BM27" s="54">
        <f t="shared" si="7"/>
        <v>0</v>
      </c>
      <c r="BN27" s="54">
        <f t="shared" si="7"/>
        <v>0</v>
      </c>
      <c r="BO27" s="54">
        <f t="shared" si="7"/>
        <v>0</v>
      </c>
      <c r="BP27" s="54">
        <f t="shared" si="7"/>
        <v>0</v>
      </c>
      <c r="BQ27" s="54">
        <f t="shared" si="7"/>
        <v>0</v>
      </c>
      <c r="BR27" s="54">
        <f t="shared" si="7"/>
        <v>0</v>
      </c>
      <c r="BS27" s="54">
        <f t="shared" si="7"/>
        <v>0</v>
      </c>
      <c r="BT27" s="54">
        <f t="shared" si="7"/>
        <v>0</v>
      </c>
      <c r="BU27" s="54">
        <f t="shared" si="7"/>
        <v>0</v>
      </c>
      <c r="BV27" s="54">
        <f t="shared" si="7"/>
        <v>0</v>
      </c>
      <c r="BW27" s="54">
        <f t="shared" si="7"/>
        <v>0</v>
      </c>
      <c r="BX27" s="54">
        <f t="shared" si="7"/>
        <v>0</v>
      </c>
      <c r="BY27" s="54">
        <f t="shared" si="7"/>
        <v>0</v>
      </c>
      <c r="BZ27" s="54">
        <f t="shared" si="7"/>
        <v>0</v>
      </c>
      <c r="CA27" s="54">
        <f t="shared" si="7"/>
        <v>0</v>
      </c>
      <c r="CB27" s="54">
        <f t="shared" si="7"/>
        <v>0</v>
      </c>
      <c r="CC27" s="54">
        <f t="shared" si="7"/>
        <v>0</v>
      </c>
      <c r="CD27" s="54">
        <f t="shared" si="7"/>
        <v>0</v>
      </c>
      <c r="CE27" s="54">
        <f t="shared" si="7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 t="str">
        <f>HLOOKUP(AF$4,[1]Anx!$C$86:$CO$121,AE28)</f>
        <v xml:space="preserve">17 -alim veau </v>
      </c>
      <c r="AH28" s="61">
        <f t="shared" si="4"/>
        <v>17</v>
      </c>
      <c r="AI28" s="129">
        <f>Troupeau!B82</f>
        <v>3801.6000000000004</v>
      </c>
      <c r="AK28" s="54">
        <f t="shared" si="5"/>
        <v>0</v>
      </c>
      <c r="AL28" s="54">
        <f t="shared" si="6"/>
        <v>0</v>
      </c>
      <c r="AM28" s="54">
        <f t="shared" si="6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3.8</v>
      </c>
      <c r="BB28" s="54">
        <f t="shared" si="0"/>
        <v>0</v>
      </c>
      <c r="BC28" s="54">
        <f t="shared" si="7"/>
        <v>0</v>
      </c>
      <c r="BD28" s="54">
        <f t="shared" si="7"/>
        <v>0</v>
      </c>
      <c r="BE28" s="54">
        <f t="shared" si="7"/>
        <v>0</v>
      </c>
      <c r="BF28" s="54">
        <f t="shared" si="7"/>
        <v>0</v>
      </c>
      <c r="BG28" s="54">
        <f t="shared" si="7"/>
        <v>0</v>
      </c>
      <c r="BH28" s="54">
        <f t="shared" si="7"/>
        <v>0</v>
      </c>
      <c r="BI28" s="54">
        <f t="shared" si="7"/>
        <v>0</v>
      </c>
      <c r="BJ28" s="54">
        <f t="shared" si="7"/>
        <v>0</v>
      </c>
      <c r="BK28" s="54">
        <f t="shared" si="7"/>
        <v>0</v>
      </c>
      <c r="BL28" s="54">
        <f t="shared" si="7"/>
        <v>0</v>
      </c>
      <c r="BM28" s="54">
        <f t="shared" si="7"/>
        <v>0</v>
      </c>
      <c r="BN28" s="54">
        <f t="shared" si="7"/>
        <v>0</v>
      </c>
      <c r="BO28" s="54">
        <f t="shared" si="7"/>
        <v>0</v>
      </c>
      <c r="BP28" s="54">
        <f t="shared" si="7"/>
        <v>0</v>
      </c>
      <c r="BQ28" s="54">
        <f t="shared" si="7"/>
        <v>0</v>
      </c>
      <c r="BR28" s="54">
        <f t="shared" si="7"/>
        <v>0</v>
      </c>
      <c r="BS28" s="54">
        <f t="shared" si="7"/>
        <v>0</v>
      </c>
      <c r="BT28" s="54">
        <f t="shared" si="7"/>
        <v>0</v>
      </c>
      <c r="BU28" s="54">
        <f t="shared" si="7"/>
        <v>0</v>
      </c>
      <c r="BV28" s="54">
        <f t="shared" si="7"/>
        <v>0</v>
      </c>
      <c r="BW28" s="54">
        <f t="shared" si="7"/>
        <v>0</v>
      </c>
      <c r="BX28" s="54">
        <f t="shared" si="7"/>
        <v>0</v>
      </c>
      <c r="BY28" s="54">
        <f t="shared" si="7"/>
        <v>0</v>
      </c>
      <c r="BZ28" s="54">
        <f t="shared" si="7"/>
        <v>0</v>
      </c>
      <c r="CA28" s="54">
        <f t="shared" si="7"/>
        <v>0</v>
      </c>
      <c r="CB28" s="54">
        <f t="shared" si="7"/>
        <v>0</v>
      </c>
      <c r="CC28" s="54">
        <f t="shared" si="7"/>
        <v>0</v>
      </c>
      <c r="CD28" s="54">
        <f t="shared" si="7"/>
        <v>0</v>
      </c>
      <c r="CE28" s="54">
        <f t="shared" si="7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4"/>
        <v>0</v>
      </c>
      <c r="AI29" s="129">
        <f>Troupeau!B83</f>
        <v>0</v>
      </c>
      <c r="AK29" s="54">
        <f t="shared" si="5"/>
        <v>0</v>
      </c>
      <c r="AL29" s="54">
        <f t="shared" si="6"/>
        <v>0</v>
      </c>
      <c r="AM29" s="54">
        <f t="shared" si="6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7"/>
        <v>0</v>
      </c>
      <c r="BD29" s="54">
        <f t="shared" si="7"/>
        <v>0</v>
      </c>
      <c r="BE29" s="54">
        <f t="shared" si="7"/>
        <v>0</v>
      </c>
      <c r="BF29" s="54">
        <f t="shared" si="7"/>
        <v>0</v>
      </c>
      <c r="BG29" s="54">
        <f t="shared" si="7"/>
        <v>0</v>
      </c>
      <c r="BH29" s="54">
        <f t="shared" si="7"/>
        <v>0</v>
      </c>
      <c r="BI29" s="54">
        <f t="shared" si="7"/>
        <v>0</v>
      </c>
      <c r="BJ29" s="54">
        <f t="shared" si="7"/>
        <v>0</v>
      </c>
      <c r="BK29" s="54">
        <f t="shared" si="7"/>
        <v>0</v>
      </c>
      <c r="BL29" s="54">
        <f t="shared" si="7"/>
        <v>0</v>
      </c>
      <c r="BM29" s="54">
        <f t="shared" si="7"/>
        <v>0</v>
      </c>
      <c r="BN29" s="54">
        <f t="shared" si="7"/>
        <v>0</v>
      </c>
      <c r="BO29" s="54">
        <f t="shared" si="7"/>
        <v>0</v>
      </c>
      <c r="BP29" s="54">
        <f t="shared" si="7"/>
        <v>0</v>
      </c>
      <c r="BQ29" s="54">
        <f t="shared" si="7"/>
        <v>0</v>
      </c>
      <c r="BR29" s="54">
        <f t="shared" si="7"/>
        <v>0</v>
      </c>
      <c r="BS29" s="54">
        <f t="shared" si="7"/>
        <v>0</v>
      </c>
      <c r="BT29" s="54">
        <f t="shared" si="7"/>
        <v>0</v>
      </c>
      <c r="BU29" s="54">
        <f t="shared" si="7"/>
        <v>0</v>
      </c>
      <c r="BV29" s="54">
        <f t="shared" si="7"/>
        <v>0</v>
      </c>
      <c r="BW29" s="54">
        <f t="shared" si="7"/>
        <v>0</v>
      </c>
      <c r="BX29" s="54">
        <f t="shared" si="7"/>
        <v>0</v>
      </c>
      <c r="BY29" s="54">
        <f t="shared" si="7"/>
        <v>0</v>
      </c>
      <c r="BZ29" s="54">
        <f t="shared" si="7"/>
        <v>0</v>
      </c>
      <c r="CA29" s="54">
        <f t="shared" si="7"/>
        <v>0</v>
      </c>
      <c r="CB29" s="54">
        <f t="shared" si="7"/>
        <v>0</v>
      </c>
      <c r="CC29" s="54">
        <f t="shared" si="7"/>
        <v>0</v>
      </c>
      <c r="CD29" s="54">
        <f t="shared" si="7"/>
        <v>0</v>
      </c>
      <c r="CE29" s="54">
        <f t="shared" si="7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4"/>
        <v>0</v>
      </c>
      <c r="AI30" s="129">
        <f>Troupeau!B84</f>
        <v>0</v>
      </c>
      <c r="AK30" s="54">
        <f t="shared" si="5"/>
        <v>0</v>
      </c>
      <c r="AL30" s="54">
        <f t="shared" si="6"/>
        <v>0</v>
      </c>
      <c r="AM30" s="54">
        <f t="shared" si="6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7"/>
        <v>0</v>
      </c>
      <c r="BD30" s="54">
        <f t="shared" si="7"/>
        <v>0</v>
      </c>
      <c r="BE30" s="54">
        <f t="shared" si="7"/>
        <v>0</v>
      </c>
      <c r="BF30" s="54">
        <f t="shared" si="7"/>
        <v>0</v>
      </c>
      <c r="BG30" s="54">
        <f t="shared" si="7"/>
        <v>0</v>
      </c>
      <c r="BH30" s="54">
        <f t="shared" si="7"/>
        <v>0</v>
      </c>
      <c r="BI30" s="54">
        <f t="shared" si="7"/>
        <v>0</v>
      </c>
      <c r="BJ30" s="54">
        <f t="shared" si="7"/>
        <v>0</v>
      </c>
      <c r="BK30" s="54">
        <f t="shared" si="7"/>
        <v>0</v>
      </c>
      <c r="BL30" s="54">
        <f t="shared" si="7"/>
        <v>0</v>
      </c>
      <c r="BM30" s="54">
        <f t="shared" si="7"/>
        <v>0</v>
      </c>
      <c r="BN30" s="54">
        <f t="shared" si="7"/>
        <v>0</v>
      </c>
      <c r="BO30" s="54">
        <f t="shared" si="7"/>
        <v>0</v>
      </c>
      <c r="BP30" s="54">
        <f t="shared" si="7"/>
        <v>0</v>
      </c>
      <c r="BQ30" s="54">
        <f t="shared" si="7"/>
        <v>0</v>
      </c>
      <c r="BR30" s="54">
        <f t="shared" si="7"/>
        <v>0</v>
      </c>
      <c r="BS30" s="54">
        <f t="shared" si="7"/>
        <v>0</v>
      </c>
      <c r="BT30" s="54">
        <f t="shared" si="7"/>
        <v>0</v>
      </c>
      <c r="BU30" s="54">
        <f t="shared" si="7"/>
        <v>0</v>
      </c>
      <c r="BV30" s="54">
        <f t="shared" si="7"/>
        <v>0</v>
      </c>
      <c r="BW30" s="54">
        <f t="shared" si="7"/>
        <v>0</v>
      </c>
      <c r="BX30" s="54">
        <f t="shared" si="7"/>
        <v>0</v>
      </c>
      <c r="BY30" s="54">
        <f t="shared" si="7"/>
        <v>0</v>
      </c>
      <c r="BZ30" s="54">
        <f t="shared" si="7"/>
        <v>0</v>
      </c>
      <c r="CA30" s="54">
        <f t="shared" si="7"/>
        <v>0</v>
      </c>
      <c r="CB30" s="54">
        <f t="shared" si="7"/>
        <v>0</v>
      </c>
      <c r="CC30" s="54">
        <f t="shared" si="7"/>
        <v>0</v>
      </c>
      <c r="CD30" s="54">
        <f t="shared" si="7"/>
        <v>0</v>
      </c>
      <c r="CE30" s="54">
        <f t="shared" si="7"/>
        <v>0</v>
      </c>
    </row>
    <row r="31" spans="1:83" x14ac:dyDescent="0.25">
      <c r="A31" s="128" t="str">
        <f>A$19</f>
        <v>broutard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4"/>
        <v>0</v>
      </c>
      <c r="AI31" s="129">
        <f>Troupeau!B85</f>
        <v>0</v>
      </c>
      <c r="AK31" s="54">
        <f t="shared" si="5"/>
        <v>0</v>
      </c>
      <c r="AL31" s="54">
        <f t="shared" si="6"/>
        <v>0</v>
      </c>
      <c r="AM31" s="54">
        <f t="shared" si="6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7"/>
        <v>0</v>
      </c>
      <c r="BD31" s="54">
        <f t="shared" si="7"/>
        <v>0</v>
      </c>
      <c r="BE31" s="54">
        <f t="shared" si="7"/>
        <v>0</v>
      </c>
      <c r="BF31" s="54">
        <f t="shared" si="7"/>
        <v>0</v>
      </c>
      <c r="BG31" s="54">
        <f t="shared" si="7"/>
        <v>0</v>
      </c>
      <c r="BH31" s="54">
        <f t="shared" si="7"/>
        <v>0</v>
      </c>
      <c r="BI31" s="54">
        <f t="shared" si="7"/>
        <v>0</v>
      </c>
      <c r="BJ31" s="54">
        <f t="shared" si="7"/>
        <v>0</v>
      </c>
      <c r="BK31" s="54">
        <f t="shared" si="7"/>
        <v>0</v>
      </c>
      <c r="BL31" s="54">
        <f t="shared" si="7"/>
        <v>0</v>
      </c>
      <c r="BM31" s="54">
        <f t="shared" si="7"/>
        <v>0</v>
      </c>
      <c r="BN31" s="54">
        <f t="shared" si="7"/>
        <v>0</v>
      </c>
      <c r="BO31" s="54">
        <f t="shared" si="7"/>
        <v>0</v>
      </c>
      <c r="BP31" s="54">
        <f t="shared" si="7"/>
        <v>0</v>
      </c>
      <c r="BQ31" s="54">
        <f t="shared" si="7"/>
        <v>0</v>
      </c>
      <c r="BR31" s="54">
        <f t="shared" si="7"/>
        <v>0</v>
      </c>
      <c r="BS31" s="54">
        <f t="shared" si="7"/>
        <v>0</v>
      </c>
      <c r="BT31" s="54">
        <f t="shared" si="7"/>
        <v>0</v>
      </c>
      <c r="BU31" s="54">
        <f t="shared" si="7"/>
        <v>0</v>
      </c>
      <c r="BV31" s="54">
        <f t="shared" si="7"/>
        <v>0</v>
      </c>
      <c r="BW31" s="54">
        <f t="shared" si="7"/>
        <v>0</v>
      </c>
      <c r="BX31" s="54">
        <f t="shared" si="7"/>
        <v>0</v>
      </c>
      <c r="BY31" s="54">
        <f t="shared" si="7"/>
        <v>0</v>
      </c>
      <c r="BZ31" s="54">
        <f t="shared" si="7"/>
        <v>0</v>
      </c>
      <c r="CA31" s="54">
        <f t="shared" si="7"/>
        <v>0</v>
      </c>
      <c r="CB31" s="54">
        <f t="shared" si="7"/>
        <v>0</v>
      </c>
      <c r="CC31" s="54">
        <f t="shared" si="7"/>
        <v>0</v>
      </c>
      <c r="CD31" s="54">
        <f t="shared" si="7"/>
        <v>0</v>
      </c>
      <c r="CE31" s="54">
        <f t="shared" si="7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4"/>
        <v>0</v>
      </c>
      <c r="AI32" s="129">
        <f>Troupeau!B86</f>
        <v>0</v>
      </c>
      <c r="AK32" s="54">
        <f t="shared" si="5"/>
        <v>0</v>
      </c>
      <c r="AL32" s="54">
        <f t="shared" si="6"/>
        <v>0</v>
      </c>
      <c r="AM32" s="54">
        <f t="shared" si="6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7"/>
        <v>0</v>
      </c>
      <c r="BD32" s="54">
        <f t="shared" si="7"/>
        <v>0</v>
      </c>
      <c r="BE32" s="54">
        <f t="shared" si="7"/>
        <v>0</v>
      </c>
      <c r="BF32" s="54">
        <f t="shared" si="7"/>
        <v>0</v>
      </c>
      <c r="BG32" s="54">
        <f t="shared" si="7"/>
        <v>0</v>
      </c>
      <c r="BH32" s="54">
        <f t="shared" si="7"/>
        <v>0</v>
      </c>
      <c r="BI32" s="54">
        <f t="shared" si="7"/>
        <v>0</v>
      </c>
      <c r="BJ32" s="54">
        <f t="shared" si="7"/>
        <v>0</v>
      </c>
      <c r="BK32" s="54">
        <f t="shared" si="7"/>
        <v>0</v>
      </c>
      <c r="BL32" s="54">
        <f t="shared" si="7"/>
        <v>0</v>
      </c>
      <c r="BM32" s="54">
        <f t="shared" si="7"/>
        <v>0</v>
      </c>
      <c r="BN32" s="54">
        <f t="shared" si="7"/>
        <v>0</v>
      </c>
      <c r="BO32" s="54">
        <f t="shared" si="7"/>
        <v>0</v>
      </c>
      <c r="BP32" s="54">
        <f t="shared" si="7"/>
        <v>0</v>
      </c>
      <c r="BQ32" s="54">
        <f t="shared" si="7"/>
        <v>0</v>
      </c>
      <c r="BR32" s="54">
        <f t="shared" si="7"/>
        <v>0</v>
      </c>
      <c r="BS32" s="54">
        <f t="shared" si="7"/>
        <v>0</v>
      </c>
      <c r="BT32" s="54">
        <f t="shared" si="7"/>
        <v>0</v>
      </c>
      <c r="BU32" s="54">
        <f t="shared" si="7"/>
        <v>0</v>
      </c>
      <c r="BV32" s="54">
        <f t="shared" si="7"/>
        <v>0</v>
      </c>
      <c r="BW32" s="54">
        <f t="shared" si="7"/>
        <v>0</v>
      </c>
      <c r="BX32" s="54">
        <f t="shared" si="7"/>
        <v>0</v>
      </c>
      <c r="BY32" s="54">
        <f t="shared" si="7"/>
        <v>0</v>
      </c>
      <c r="BZ32" s="54">
        <f t="shared" si="7"/>
        <v>0</v>
      </c>
      <c r="CA32" s="54">
        <f t="shared" si="7"/>
        <v>0</v>
      </c>
      <c r="CB32" s="54">
        <f t="shared" si="7"/>
        <v>0</v>
      </c>
      <c r="CC32" s="54">
        <f t="shared" si="7"/>
        <v>0</v>
      </c>
      <c r="CD32" s="54">
        <f t="shared" si="7"/>
        <v>0</v>
      </c>
      <c r="CE32" s="54">
        <f t="shared" si="7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 t="str">
        <f>HLOOKUP(AF$4,[1]Anx!$C$86:$CO$121,AE33)</f>
        <v xml:space="preserve">17 -alim veau </v>
      </c>
      <c r="AH33" s="61">
        <f t="shared" si="4"/>
        <v>17</v>
      </c>
      <c r="AI33" s="129">
        <f>Troupeau!B87</f>
        <v>3801.6000000000004</v>
      </c>
      <c r="AK33" s="54">
        <f t="shared" si="5"/>
        <v>0</v>
      </c>
      <c r="AL33" s="54">
        <f t="shared" si="6"/>
        <v>0</v>
      </c>
      <c r="AM33" s="54">
        <f t="shared" si="6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3.8</v>
      </c>
      <c r="BB33" s="54">
        <f t="shared" si="0"/>
        <v>0</v>
      </c>
      <c r="BC33" s="54">
        <f t="shared" si="7"/>
        <v>0</v>
      </c>
      <c r="BD33" s="54">
        <f t="shared" si="7"/>
        <v>0</v>
      </c>
      <c r="BE33" s="54">
        <f t="shared" si="7"/>
        <v>0</v>
      </c>
      <c r="BF33" s="54">
        <f t="shared" si="7"/>
        <v>0</v>
      </c>
      <c r="BG33" s="54">
        <f t="shared" si="7"/>
        <v>0</v>
      </c>
      <c r="BH33" s="54">
        <f t="shared" si="7"/>
        <v>0</v>
      </c>
      <c r="BI33" s="54">
        <f t="shared" si="7"/>
        <v>0</v>
      </c>
      <c r="BJ33" s="54">
        <f t="shared" si="7"/>
        <v>0</v>
      </c>
      <c r="BK33" s="54">
        <f t="shared" si="7"/>
        <v>0</v>
      </c>
      <c r="BL33" s="54">
        <f t="shared" si="7"/>
        <v>0</v>
      </c>
      <c r="BM33" s="54">
        <f t="shared" si="7"/>
        <v>0</v>
      </c>
      <c r="BN33" s="54">
        <f t="shared" si="7"/>
        <v>0</v>
      </c>
      <c r="BO33" s="54">
        <f t="shared" si="7"/>
        <v>0</v>
      </c>
      <c r="BP33" s="54">
        <f t="shared" si="7"/>
        <v>0</v>
      </c>
      <c r="BQ33" s="54">
        <f t="shared" si="7"/>
        <v>0</v>
      </c>
      <c r="BR33" s="54">
        <f t="shared" si="7"/>
        <v>0</v>
      </c>
      <c r="BS33" s="54">
        <f t="shared" si="7"/>
        <v>0</v>
      </c>
      <c r="BT33" s="54">
        <f t="shared" si="7"/>
        <v>0</v>
      </c>
      <c r="BU33" s="54">
        <f t="shared" si="7"/>
        <v>0</v>
      </c>
      <c r="BV33" s="54">
        <f t="shared" si="7"/>
        <v>0</v>
      </c>
      <c r="BW33" s="54">
        <f t="shared" si="7"/>
        <v>0</v>
      </c>
      <c r="BX33" s="54">
        <f t="shared" si="7"/>
        <v>0</v>
      </c>
      <c r="BY33" s="54">
        <f t="shared" si="7"/>
        <v>0</v>
      </c>
      <c r="BZ33" s="54">
        <f t="shared" si="7"/>
        <v>0</v>
      </c>
      <c r="CA33" s="54">
        <f t="shared" si="7"/>
        <v>0</v>
      </c>
      <c r="CB33" s="54">
        <f t="shared" si="7"/>
        <v>0</v>
      </c>
      <c r="CC33" s="54">
        <f t="shared" si="7"/>
        <v>0</v>
      </c>
      <c r="CD33" s="54">
        <f t="shared" si="7"/>
        <v>0</v>
      </c>
      <c r="CE33" s="54">
        <f t="shared" si="7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4"/>
        <v>0</v>
      </c>
      <c r="AI34" s="129">
        <f>Troupeau!B88</f>
        <v>0</v>
      </c>
      <c r="AK34" s="54">
        <f t="shared" si="5"/>
        <v>0</v>
      </c>
      <c r="AL34" s="54">
        <f t="shared" si="6"/>
        <v>0</v>
      </c>
      <c r="AM34" s="54">
        <f t="shared" si="6"/>
        <v>0</v>
      </c>
      <c r="AN34" s="54">
        <f t="shared" si="6"/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8">IF($AH34=BB$17,ROUND($AI34/1000,1),0)</f>
        <v>0</v>
      </c>
      <c r="BC34" s="54">
        <f t="shared" si="7"/>
        <v>0</v>
      </c>
      <c r="BD34" s="54">
        <f t="shared" si="7"/>
        <v>0</v>
      </c>
      <c r="BE34" s="54">
        <f t="shared" si="7"/>
        <v>0</v>
      </c>
      <c r="BF34" s="54">
        <f t="shared" si="7"/>
        <v>0</v>
      </c>
      <c r="BG34" s="54">
        <f t="shared" si="7"/>
        <v>0</v>
      </c>
      <c r="BH34" s="54">
        <f t="shared" si="7"/>
        <v>0</v>
      </c>
      <c r="BI34" s="54">
        <f t="shared" si="7"/>
        <v>0</v>
      </c>
      <c r="BJ34" s="54">
        <f t="shared" si="7"/>
        <v>0</v>
      </c>
      <c r="BK34" s="54">
        <f t="shared" si="7"/>
        <v>0</v>
      </c>
      <c r="BL34" s="54">
        <f t="shared" si="7"/>
        <v>0</v>
      </c>
      <c r="BM34" s="54">
        <f t="shared" si="7"/>
        <v>0</v>
      </c>
      <c r="BN34" s="54">
        <f t="shared" si="7"/>
        <v>0</v>
      </c>
      <c r="BO34" s="54">
        <f t="shared" si="7"/>
        <v>0</v>
      </c>
      <c r="BP34" s="54">
        <f t="shared" si="7"/>
        <v>0</v>
      </c>
      <c r="BQ34" s="54">
        <f t="shared" si="7"/>
        <v>0</v>
      </c>
      <c r="BR34" s="54">
        <f t="shared" si="7"/>
        <v>0</v>
      </c>
      <c r="BS34" s="54">
        <f t="shared" si="7"/>
        <v>0</v>
      </c>
      <c r="BT34" s="54">
        <f t="shared" si="7"/>
        <v>0</v>
      </c>
      <c r="BU34" s="54">
        <f t="shared" si="7"/>
        <v>0</v>
      </c>
      <c r="BV34" s="54">
        <f t="shared" si="7"/>
        <v>0</v>
      </c>
      <c r="BW34" s="54">
        <f t="shared" si="7"/>
        <v>0</v>
      </c>
      <c r="BX34" s="54">
        <f t="shared" si="7"/>
        <v>0</v>
      </c>
      <c r="BY34" s="54">
        <f t="shared" si="7"/>
        <v>0</v>
      </c>
      <c r="BZ34" s="54">
        <f t="shared" si="7"/>
        <v>0</v>
      </c>
      <c r="CA34" s="54">
        <f t="shared" si="7"/>
        <v>0</v>
      </c>
      <c r="CB34" s="54">
        <f t="shared" si="7"/>
        <v>0</v>
      </c>
      <c r="CC34" s="54">
        <f t="shared" si="7"/>
        <v>0</v>
      </c>
      <c r="CD34" s="54">
        <f t="shared" si="7"/>
        <v>0</v>
      </c>
      <c r="CE34" s="54">
        <f t="shared" si="7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4"/>
        <v>0</v>
      </c>
      <c r="AI35" s="129">
        <f>Troupeau!B89</f>
        <v>0</v>
      </c>
      <c r="AK35" s="54">
        <f t="shared" si="5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7"/>
        <v>0</v>
      </c>
      <c r="BD35" s="54">
        <f t="shared" si="7"/>
        <v>0</v>
      </c>
      <c r="BE35" s="54">
        <f t="shared" si="7"/>
        <v>0</v>
      </c>
      <c r="BF35" s="54">
        <f t="shared" si="7"/>
        <v>0</v>
      </c>
      <c r="BG35" s="54">
        <f t="shared" si="7"/>
        <v>0</v>
      </c>
      <c r="BH35" s="54">
        <f t="shared" si="7"/>
        <v>0</v>
      </c>
      <c r="BI35" s="54">
        <f t="shared" si="7"/>
        <v>0</v>
      </c>
      <c r="BJ35" s="54">
        <f t="shared" si="7"/>
        <v>0</v>
      </c>
      <c r="BK35" s="54">
        <f t="shared" si="7"/>
        <v>0</v>
      </c>
      <c r="BL35" s="54">
        <f t="shared" si="7"/>
        <v>0</v>
      </c>
      <c r="BM35" s="54">
        <f t="shared" si="7"/>
        <v>0</v>
      </c>
      <c r="BN35" s="54">
        <f t="shared" si="7"/>
        <v>0</v>
      </c>
      <c r="BO35" s="54">
        <f t="shared" si="7"/>
        <v>0</v>
      </c>
      <c r="BP35" s="54">
        <f t="shared" si="7"/>
        <v>0</v>
      </c>
      <c r="BQ35" s="54">
        <f t="shared" si="7"/>
        <v>0</v>
      </c>
      <c r="BR35" s="54">
        <f t="shared" si="7"/>
        <v>0</v>
      </c>
      <c r="BS35" s="54">
        <f t="shared" si="7"/>
        <v>0</v>
      </c>
      <c r="BT35" s="54">
        <f t="shared" si="7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4"/>
        <v>0</v>
      </c>
      <c r="AI36" s="129">
        <f>Troupeau!B90</f>
        <v>0</v>
      </c>
      <c r="AK36" s="54">
        <f t="shared" si="5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4"/>
        <v>0</v>
      </c>
      <c r="AI37" s="129">
        <f>Troupeau!B91</f>
        <v>0</v>
      </c>
      <c r="AK37" s="54">
        <f t="shared" si="5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 t="str">
        <f>HLOOKUP(AF$4,[1]Anx!$C$86:$CO$121,AE38)</f>
        <v>2 -grain céréales à paille</v>
      </c>
      <c r="AH38" s="61">
        <f t="shared" si="4"/>
        <v>2</v>
      </c>
      <c r="AI38" s="129">
        <f>Troupeau!B92</f>
        <v>528</v>
      </c>
      <c r="AK38" s="54">
        <f t="shared" si="5"/>
        <v>0</v>
      </c>
      <c r="AL38" s="54">
        <f t="shared" si="9"/>
        <v>0.5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Vaches lots principal</v>
      </c>
      <c r="B39" s="61">
        <f>B15*B27</f>
        <v>37.467999999999996</v>
      </c>
      <c r="C39" s="61">
        <f t="shared" ref="C39:Y48" si="13">C15*C27</f>
        <v>37.467999999999996</v>
      </c>
      <c r="D39" s="61">
        <f t="shared" si="13"/>
        <v>37.467999999999996</v>
      </c>
      <c r="E39" s="61">
        <f t="shared" si="13"/>
        <v>37.467999999999996</v>
      </c>
      <c r="F39" s="61">
        <f t="shared" si="13"/>
        <v>35.495999999999995</v>
      </c>
      <c r="G39" s="61">
        <f t="shared" si="13"/>
        <v>33.523999999999994</v>
      </c>
      <c r="H39" s="61">
        <f t="shared" si="13"/>
        <v>31.551999999999996</v>
      </c>
      <c r="I39" s="61">
        <f t="shared" si="13"/>
        <v>29.58</v>
      </c>
      <c r="J39" s="61">
        <f t="shared" si="13"/>
        <v>28.594000000000001</v>
      </c>
      <c r="K39" s="61">
        <f t="shared" si="13"/>
        <v>27.607999999999997</v>
      </c>
      <c r="L39" s="61">
        <f t="shared" si="13"/>
        <v>26.622</v>
      </c>
      <c r="M39" s="61">
        <f t="shared" si="13"/>
        <v>26.622</v>
      </c>
      <c r="N39" s="61">
        <f t="shared" si="13"/>
        <v>26.622</v>
      </c>
      <c r="O39" s="61">
        <f t="shared" si="13"/>
        <v>26.622</v>
      </c>
      <c r="P39" s="61">
        <f t="shared" si="13"/>
        <v>25.635999999999999</v>
      </c>
      <c r="Q39" s="61">
        <f t="shared" si="13"/>
        <v>25.635999999999999</v>
      </c>
      <c r="R39" s="61">
        <f t="shared" si="13"/>
        <v>26.622</v>
      </c>
      <c r="S39" s="61">
        <f t="shared" si="13"/>
        <v>27.607999999999997</v>
      </c>
      <c r="T39" s="61">
        <f t="shared" si="13"/>
        <v>29.58</v>
      </c>
      <c r="U39" s="61">
        <f t="shared" si="13"/>
        <v>31.551999999999996</v>
      </c>
      <c r="V39" s="61">
        <f t="shared" si="13"/>
        <v>34.51</v>
      </c>
      <c r="W39" s="61">
        <f t="shared" si="13"/>
        <v>36.481999999999999</v>
      </c>
      <c r="X39" s="61">
        <f t="shared" si="13"/>
        <v>37.467999999999996</v>
      </c>
      <c r="Y39" s="61">
        <f t="shared" si="13"/>
        <v>37.467999999999996</v>
      </c>
      <c r="Z39" s="52"/>
      <c r="AB39" s="5"/>
      <c r="AC39" t="s">
        <v>396</v>
      </c>
      <c r="AE39" s="17">
        <v>23</v>
      </c>
      <c r="AG39" s="126" t="str">
        <f>HLOOKUP(AF$4,[1]Anx!$C$86:$CO$121,AE39)</f>
        <v>6 -tourteaux soja</v>
      </c>
      <c r="AH39" s="61">
        <f t="shared" si="4"/>
        <v>6</v>
      </c>
      <c r="AI39" s="129">
        <f>Troupeau!B93</f>
        <v>132</v>
      </c>
      <c r="AK39" s="54">
        <f t="shared" si="5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0.1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Génisses de renouvellement</v>
      </c>
      <c r="B40" s="61">
        <f t="shared" ref="B40:Q48" si="14">B16*B28</f>
        <v>19.488</v>
      </c>
      <c r="C40" s="61">
        <f t="shared" si="14"/>
        <v>19.488</v>
      </c>
      <c r="D40" s="61">
        <f t="shared" si="14"/>
        <v>19.488</v>
      </c>
      <c r="E40" s="61">
        <f t="shared" si="14"/>
        <v>19.488</v>
      </c>
      <c r="F40" s="61">
        <f t="shared" si="14"/>
        <v>19.488</v>
      </c>
      <c r="G40" s="61">
        <f t="shared" si="14"/>
        <v>19.488</v>
      </c>
      <c r="H40" s="61">
        <f t="shared" si="14"/>
        <v>19.488</v>
      </c>
      <c r="I40" s="61">
        <f t="shared" si="14"/>
        <v>19.488</v>
      </c>
      <c r="J40" s="61">
        <f t="shared" si="14"/>
        <v>19.488</v>
      </c>
      <c r="K40" s="61">
        <f t="shared" si="14"/>
        <v>19.488</v>
      </c>
      <c r="L40" s="61">
        <f t="shared" si="14"/>
        <v>19.488</v>
      </c>
      <c r="M40" s="61">
        <f t="shared" si="14"/>
        <v>19.488</v>
      </c>
      <c r="N40" s="61">
        <f t="shared" si="14"/>
        <v>19.488</v>
      </c>
      <c r="O40" s="61">
        <f t="shared" si="14"/>
        <v>19.488</v>
      </c>
      <c r="P40" s="61">
        <f t="shared" si="14"/>
        <v>19.488</v>
      </c>
      <c r="Q40" s="61">
        <f t="shared" si="14"/>
        <v>19.488</v>
      </c>
      <c r="R40" s="61">
        <f t="shared" si="13"/>
        <v>19.488</v>
      </c>
      <c r="S40" s="61">
        <f t="shared" si="13"/>
        <v>19.488</v>
      </c>
      <c r="T40" s="61">
        <f t="shared" si="13"/>
        <v>19.488</v>
      </c>
      <c r="U40" s="61">
        <f t="shared" si="13"/>
        <v>19.488</v>
      </c>
      <c r="V40" s="61">
        <f t="shared" si="13"/>
        <v>19.488</v>
      </c>
      <c r="W40" s="61">
        <f t="shared" si="13"/>
        <v>19.488</v>
      </c>
      <c r="X40" s="61">
        <f t="shared" si="13"/>
        <v>19.488</v>
      </c>
      <c r="Y40" s="61">
        <f t="shared" si="13"/>
        <v>19.488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4"/>
        <v>0</v>
      </c>
      <c r="AI40" s="129">
        <f>Troupeau!B94</f>
        <v>0</v>
      </c>
      <c r="AK40" s="54">
        <f t="shared" si="5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génisse 6mois 1 an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0.40599999999999997</v>
      </c>
      <c r="F41" s="61">
        <f t="shared" si="13"/>
        <v>0.81199999999999994</v>
      </c>
      <c r="G41" s="61">
        <f t="shared" si="13"/>
        <v>2.0299999999999998</v>
      </c>
      <c r="H41" s="61">
        <f t="shared" si="13"/>
        <v>3.2479999999999998</v>
      </c>
      <c r="I41" s="61">
        <f t="shared" si="13"/>
        <v>4.4659999999999993</v>
      </c>
      <c r="J41" s="61">
        <f t="shared" si="13"/>
        <v>4.4659999999999993</v>
      </c>
      <c r="K41" s="61">
        <f t="shared" si="13"/>
        <v>4.4659999999999993</v>
      </c>
      <c r="L41" s="61">
        <f t="shared" si="13"/>
        <v>4.8719999999999999</v>
      </c>
      <c r="M41" s="61">
        <f t="shared" si="13"/>
        <v>4.8719999999999999</v>
      </c>
      <c r="N41" s="61">
        <f t="shared" si="13"/>
        <v>4.8719999999999999</v>
      </c>
      <c r="O41" s="61">
        <f t="shared" si="13"/>
        <v>4.8719999999999999</v>
      </c>
      <c r="P41" s="61">
        <f t="shared" si="13"/>
        <v>4.8719999999999999</v>
      </c>
      <c r="Q41" s="61">
        <f t="shared" si="13"/>
        <v>4.8719999999999999</v>
      </c>
      <c r="R41" s="61">
        <f t="shared" si="13"/>
        <v>4.4659999999999993</v>
      </c>
      <c r="S41" s="61">
        <f t="shared" si="13"/>
        <v>4.0599999999999996</v>
      </c>
      <c r="T41" s="61">
        <f t="shared" si="13"/>
        <v>3.2479999999999998</v>
      </c>
      <c r="U41" s="61">
        <f t="shared" si="13"/>
        <v>2.4359999999999999</v>
      </c>
      <c r="V41" s="61">
        <f t="shared" si="13"/>
        <v>1.218</v>
      </c>
      <c r="W41" s="61">
        <f t="shared" si="13"/>
        <v>0.40599999999999997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4"/>
        <v>0</v>
      </c>
      <c r="AI41" s="129">
        <f>Troupeau!B95</f>
        <v>0</v>
      </c>
      <c r="AK41" s="54">
        <f t="shared" si="5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réforme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1.9719999999999998</v>
      </c>
      <c r="G42" s="61">
        <f t="shared" si="13"/>
        <v>3.9439999999999995</v>
      </c>
      <c r="H42" s="61">
        <f t="shared" si="13"/>
        <v>5.9159999999999995</v>
      </c>
      <c r="I42" s="61">
        <f t="shared" si="13"/>
        <v>7.887999999999999</v>
      </c>
      <c r="J42" s="61">
        <f t="shared" si="13"/>
        <v>8.8739999999999988</v>
      </c>
      <c r="K42" s="61">
        <f t="shared" si="13"/>
        <v>9.86</v>
      </c>
      <c r="L42" s="61">
        <f t="shared" si="13"/>
        <v>10.846</v>
      </c>
      <c r="M42" s="61">
        <f t="shared" si="13"/>
        <v>10.846</v>
      </c>
      <c r="N42" s="61">
        <f t="shared" si="13"/>
        <v>10.846</v>
      </c>
      <c r="O42" s="61">
        <f t="shared" si="13"/>
        <v>10.846</v>
      </c>
      <c r="P42" s="61">
        <f t="shared" si="13"/>
        <v>10.846</v>
      </c>
      <c r="Q42" s="61">
        <f t="shared" si="13"/>
        <v>9.86</v>
      </c>
      <c r="R42" s="61">
        <f t="shared" si="13"/>
        <v>8.8739999999999988</v>
      </c>
      <c r="S42" s="61">
        <f t="shared" si="13"/>
        <v>8.8739999999999988</v>
      </c>
      <c r="T42" s="61">
        <f t="shared" si="13"/>
        <v>5.9159999999999995</v>
      </c>
      <c r="U42" s="61">
        <f t="shared" si="13"/>
        <v>4.93</v>
      </c>
      <c r="V42" s="61">
        <f t="shared" si="13"/>
        <v>2.9579999999999997</v>
      </c>
      <c r="W42" s="61">
        <f t="shared" si="13"/>
        <v>1.9719999999999998</v>
      </c>
      <c r="X42" s="61">
        <f t="shared" si="13"/>
        <v>0.98599999999999988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4"/>
        <v>0</v>
      </c>
      <c r="AI42" s="129">
        <f>Troupeau!B96</f>
        <v>0</v>
      </c>
      <c r="AK42" s="54">
        <f t="shared" si="5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broutard</v>
      </c>
      <c r="B43" s="61">
        <f t="shared" si="14"/>
        <v>6.6119999999999992</v>
      </c>
      <c r="C43" s="61">
        <f t="shared" si="13"/>
        <v>6.6119999999999992</v>
      </c>
      <c r="D43" s="61">
        <f t="shared" si="13"/>
        <v>6.6119999999999992</v>
      </c>
      <c r="E43" s="61">
        <f t="shared" si="13"/>
        <v>6.6119999999999992</v>
      </c>
      <c r="F43" s="61">
        <f t="shared" si="13"/>
        <v>6.2639999999999993</v>
      </c>
      <c r="G43" s="61">
        <f t="shared" si="13"/>
        <v>5.9159999999999995</v>
      </c>
      <c r="H43" s="61">
        <f t="shared" si="13"/>
        <v>5.5679999999999996</v>
      </c>
      <c r="I43" s="61">
        <f t="shared" si="13"/>
        <v>5.22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5.22</v>
      </c>
      <c r="U43" s="61">
        <f t="shared" si="13"/>
        <v>5.5679999999999996</v>
      </c>
      <c r="V43" s="61">
        <f t="shared" si="13"/>
        <v>6.09</v>
      </c>
      <c r="W43" s="61">
        <f t="shared" si="13"/>
        <v>6.4379999999999997</v>
      </c>
      <c r="X43" s="61">
        <f t="shared" si="13"/>
        <v>6.6119999999999992</v>
      </c>
      <c r="Y43" s="61">
        <f t="shared" si="13"/>
        <v>6.6119999999999992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4"/>
        <v>0</v>
      </c>
      <c r="AI43" s="129">
        <f>Troupeau!B97</f>
        <v>0</v>
      </c>
      <c r="AK43" s="54">
        <f t="shared" si="5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4"/>
        <v>0</v>
      </c>
      <c r="AI44" s="129">
        <f>Troupeau!B98</f>
        <v>0</v>
      </c>
      <c r="AK44" s="54">
        <f t="shared" si="5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4"/>
        <v>0</v>
      </c>
      <c r="AI45" s="129">
        <f>Troupeau!B99</f>
        <v>0</v>
      </c>
      <c r="AK45" s="54">
        <f t="shared" si="5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4"/>
        <v>0</v>
      </c>
      <c r="AI46" s="129">
        <f>Troupeau!B100</f>
        <v>0</v>
      </c>
      <c r="AK46" s="54">
        <f t="shared" si="5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4"/>
        <v>0</v>
      </c>
      <c r="AI47" s="129">
        <f>Troupeau!B101</f>
        <v>0</v>
      </c>
      <c r="AK47" s="54">
        <f t="shared" si="5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4"/>
        <v>0</v>
      </c>
      <c r="AI48" s="129">
        <f>Troupeau!B102</f>
        <v>0</v>
      </c>
      <c r="AK48" s="54">
        <f t="shared" si="5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169</v>
      </c>
      <c r="B49" s="62">
        <f>SUM(B39:B48)</f>
        <v>63.567999999999998</v>
      </c>
      <c r="C49" s="62">
        <f t="shared" ref="C49:Y49" si="15">SUM(C39:C48)</f>
        <v>63.567999999999998</v>
      </c>
      <c r="D49" s="62">
        <f t="shared" si="15"/>
        <v>63.567999999999998</v>
      </c>
      <c r="E49" s="62">
        <f t="shared" si="15"/>
        <v>63.973999999999997</v>
      </c>
      <c r="F49" s="62">
        <f t="shared" si="15"/>
        <v>64.031999999999996</v>
      </c>
      <c r="G49" s="62">
        <f t="shared" si="15"/>
        <v>64.902000000000001</v>
      </c>
      <c r="H49" s="62">
        <f t="shared" si="15"/>
        <v>65.771999999999991</v>
      </c>
      <c r="I49" s="62">
        <f t="shared" si="15"/>
        <v>66.641999999999996</v>
      </c>
      <c r="J49" s="62">
        <f t="shared" si="15"/>
        <v>61.421999999999997</v>
      </c>
      <c r="K49" s="62">
        <f t="shared" si="15"/>
        <v>61.421999999999997</v>
      </c>
      <c r="L49" s="62">
        <f t="shared" si="15"/>
        <v>61.828000000000003</v>
      </c>
      <c r="M49" s="62">
        <f t="shared" si="15"/>
        <v>61.828000000000003</v>
      </c>
      <c r="N49" s="62">
        <f t="shared" si="15"/>
        <v>61.828000000000003</v>
      </c>
      <c r="O49" s="62">
        <f t="shared" si="15"/>
        <v>61.828000000000003</v>
      </c>
      <c r="P49" s="62">
        <f t="shared" si="15"/>
        <v>60.841999999999999</v>
      </c>
      <c r="Q49" s="62">
        <f t="shared" si="15"/>
        <v>59.855999999999995</v>
      </c>
      <c r="R49" s="62">
        <f t="shared" si="15"/>
        <v>59.45</v>
      </c>
      <c r="S49" s="62">
        <f t="shared" si="15"/>
        <v>60.03</v>
      </c>
      <c r="T49" s="62">
        <f t="shared" si="15"/>
        <v>63.451999999999991</v>
      </c>
      <c r="U49" s="62">
        <f t="shared" si="15"/>
        <v>63.97399999999999</v>
      </c>
      <c r="V49" s="62">
        <f t="shared" si="15"/>
        <v>64.263999999999996</v>
      </c>
      <c r="W49" s="62">
        <f t="shared" si="15"/>
        <v>64.786000000000001</v>
      </c>
      <c r="X49" s="62">
        <f t="shared" si="15"/>
        <v>64.553999999999988</v>
      </c>
      <c r="Y49" s="62">
        <f t="shared" si="15"/>
        <v>63.567999999999998</v>
      </c>
      <c r="Z49" s="23"/>
      <c r="AA49" s="46">
        <f>AVERAGE(B49:Y49)</f>
        <v>62.956583333333327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4"/>
        <v>0</v>
      </c>
      <c r="AI49" s="129">
        <f>Troupeau!B103</f>
        <v>0</v>
      </c>
      <c r="AK49" s="54">
        <f t="shared" si="5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4"/>
        <v>0</v>
      </c>
      <c r="AI50" s="129">
        <f>Troupeau!B104</f>
        <v>0</v>
      </c>
      <c r="AK50" s="54">
        <f t="shared" si="5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4"/>
        <v>0</v>
      </c>
      <c r="AI51" s="129">
        <f>Troupeau!B105</f>
        <v>0</v>
      </c>
      <c r="AK51" s="54">
        <f t="shared" si="5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4"/>
        <v>0</v>
      </c>
      <c r="AI52" s="129">
        <f>Troupeau!B106</f>
        <v>0</v>
      </c>
      <c r="AK52" s="54">
        <f t="shared" si="5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Génisses de renouvellement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52"/>
      <c r="AG53" s="5"/>
    </row>
    <row r="54" spans="1:83" x14ac:dyDescent="0.25">
      <c r="A54" s="128" t="str">
        <f>A$17</f>
        <v>génisse 6mois 1 an</v>
      </c>
      <c r="B54" s="60">
        <v>99</v>
      </c>
      <c r="C54" s="60">
        <v>99</v>
      </c>
      <c r="D54" s="60">
        <v>99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8">SUM(AK18:AK52)</f>
        <v>4.5999999999999996</v>
      </c>
      <c r="AL54" s="84">
        <f t="shared" si="18"/>
        <v>4.2</v>
      </c>
      <c r="AM54" s="84">
        <f t="shared" si="18"/>
        <v>3.5</v>
      </c>
      <c r="AN54" s="84">
        <f t="shared" si="18"/>
        <v>0</v>
      </c>
      <c r="AO54" s="84">
        <f t="shared" si="18"/>
        <v>0</v>
      </c>
      <c r="AP54" s="84">
        <f t="shared" si="18"/>
        <v>0.1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7.6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99</v>
      </c>
      <c r="C55" s="60">
        <v>99</v>
      </c>
      <c r="D55" s="60">
        <v>99</v>
      </c>
      <c r="E55" s="60">
        <v>99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99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broutard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>
        <v>1</v>
      </c>
      <c r="U56" s="60">
        <v>1</v>
      </c>
      <c r="V56" s="60">
        <v>1</v>
      </c>
      <c r="W56" s="60">
        <v>1</v>
      </c>
      <c r="X56" s="60">
        <v>1</v>
      </c>
      <c r="Y56" s="60">
        <v>1</v>
      </c>
      <c r="Z56" s="52"/>
      <c r="AB56" t="s">
        <v>182</v>
      </c>
      <c r="AC56" t="s">
        <v>183</v>
      </c>
      <c r="AD56" s="64">
        <f>AA73*AF5/1000</f>
        <v>71.918823529411782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9">B39*B52*B$3</f>
        <v>580.75399999999991</v>
      </c>
      <c r="C63" s="61">
        <f t="shared" si="19"/>
        <v>580.75399999999991</v>
      </c>
      <c r="D63" s="61">
        <f t="shared" si="19"/>
        <v>524.55199999999991</v>
      </c>
      <c r="E63" s="61">
        <f t="shared" si="19"/>
        <v>524.55199999999991</v>
      </c>
      <c r="F63" s="61">
        <f t="shared" si="19"/>
        <v>550.18799999999987</v>
      </c>
      <c r="G63" s="61">
        <f t="shared" si="19"/>
        <v>519.62199999999996</v>
      </c>
      <c r="H63" s="61">
        <f t="shared" si="19"/>
        <v>236.63999999999996</v>
      </c>
      <c r="I63" s="61">
        <f t="shared" si="19"/>
        <v>221.85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229.24499999999998</v>
      </c>
      <c r="U63" s="61">
        <f t="shared" si="19"/>
        <v>244.52799999999996</v>
      </c>
      <c r="V63" s="61">
        <f t="shared" si="19"/>
        <v>517.65</v>
      </c>
      <c r="W63" s="61">
        <f t="shared" si="19"/>
        <v>547.23</v>
      </c>
      <c r="X63" s="61">
        <f t="shared" si="19"/>
        <v>580.75399999999991</v>
      </c>
      <c r="Y63" s="61">
        <f t="shared" si="19"/>
        <v>580.75399999999991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20">B40*B53*B$3</f>
        <v>0</v>
      </c>
      <c r="C64" s="61">
        <f t="shared" si="20"/>
        <v>0</v>
      </c>
      <c r="D64" s="61">
        <f t="shared" si="20"/>
        <v>0</v>
      </c>
      <c r="E64" s="61">
        <f t="shared" si="20"/>
        <v>0</v>
      </c>
      <c r="F64" s="61">
        <f t="shared" si="20"/>
        <v>0</v>
      </c>
      <c r="G64" s="61">
        <f t="shared" si="20"/>
        <v>0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0</v>
      </c>
      <c r="Y64" s="61">
        <f t="shared" si="20"/>
        <v>0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21">B41*B54*B$3</f>
        <v>0</v>
      </c>
      <c r="C65" s="61">
        <f t="shared" si="21"/>
        <v>0</v>
      </c>
      <c r="D65" s="61">
        <f t="shared" si="21"/>
        <v>0</v>
      </c>
      <c r="E65" s="61">
        <f t="shared" si="21"/>
        <v>5.6839999999999993</v>
      </c>
      <c r="F65" s="61">
        <f t="shared" si="21"/>
        <v>12.585999999999999</v>
      </c>
      <c r="G65" s="61">
        <f t="shared" si="21"/>
        <v>31.464999999999996</v>
      </c>
      <c r="H65" s="61">
        <f t="shared" si="21"/>
        <v>48.72</v>
      </c>
      <c r="I65" s="61">
        <f t="shared" si="21"/>
        <v>66.989999999999995</v>
      </c>
      <c r="J65" s="61">
        <f t="shared" si="21"/>
        <v>69.222999999999985</v>
      </c>
      <c r="K65" s="61">
        <f t="shared" si="21"/>
        <v>69.222999999999985</v>
      </c>
      <c r="L65" s="61">
        <f t="shared" si="21"/>
        <v>73.08</v>
      </c>
      <c r="M65" s="61">
        <f t="shared" si="21"/>
        <v>73.08</v>
      </c>
      <c r="N65" s="61">
        <f t="shared" si="21"/>
        <v>75.515999999999991</v>
      </c>
      <c r="O65" s="61">
        <f t="shared" si="21"/>
        <v>75.515999999999991</v>
      </c>
      <c r="P65" s="61">
        <f t="shared" si="21"/>
        <v>75.515999999999991</v>
      </c>
      <c r="Q65" s="61">
        <f t="shared" si="21"/>
        <v>75.515999999999991</v>
      </c>
      <c r="R65" s="61">
        <f t="shared" si="21"/>
        <v>66.989999999999995</v>
      </c>
      <c r="S65" s="61">
        <f t="shared" si="21"/>
        <v>60.899999999999991</v>
      </c>
      <c r="T65" s="61">
        <f t="shared" si="21"/>
        <v>50.343999999999994</v>
      </c>
      <c r="U65" s="61">
        <f t="shared" si="21"/>
        <v>37.757999999999996</v>
      </c>
      <c r="V65" s="61">
        <f t="shared" si="21"/>
        <v>18.27</v>
      </c>
      <c r="W65" s="61">
        <f t="shared" si="21"/>
        <v>6.09</v>
      </c>
      <c r="X65" s="61">
        <f t="shared" si="21"/>
        <v>0</v>
      </c>
      <c r="Y65" s="61">
        <f t="shared" si="21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2">B42*B55*B$3</f>
        <v>0</v>
      </c>
      <c r="C66" s="61">
        <f t="shared" si="22"/>
        <v>0</v>
      </c>
      <c r="D66" s="61">
        <f t="shared" si="22"/>
        <v>0</v>
      </c>
      <c r="E66" s="61">
        <f t="shared" si="22"/>
        <v>0</v>
      </c>
      <c r="F66" s="61">
        <f t="shared" si="22"/>
        <v>0</v>
      </c>
      <c r="G66" s="61">
        <f t="shared" si="22"/>
        <v>0</v>
      </c>
      <c r="H66" s="61">
        <f t="shared" si="22"/>
        <v>0</v>
      </c>
      <c r="I66" s="61">
        <f t="shared" si="22"/>
        <v>0</v>
      </c>
      <c r="J66" s="61">
        <f t="shared" si="22"/>
        <v>0</v>
      </c>
      <c r="K66" s="61">
        <f t="shared" si="22"/>
        <v>0</v>
      </c>
      <c r="L66" s="61">
        <f t="shared" si="22"/>
        <v>0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0</v>
      </c>
      <c r="S66" s="61">
        <f t="shared" si="22"/>
        <v>0</v>
      </c>
      <c r="T66" s="61">
        <f t="shared" si="22"/>
        <v>0</v>
      </c>
      <c r="U66" s="61">
        <f t="shared" si="22"/>
        <v>0</v>
      </c>
      <c r="V66" s="61">
        <f t="shared" si="22"/>
        <v>0</v>
      </c>
      <c r="W66" s="61">
        <f t="shared" si="22"/>
        <v>0</v>
      </c>
      <c r="X66" s="61">
        <f t="shared" si="22"/>
        <v>0</v>
      </c>
      <c r="Y66" s="61">
        <f t="shared" si="22"/>
        <v>0</v>
      </c>
      <c r="Z66" s="52"/>
      <c r="AE66" s="86"/>
    </row>
    <row r="67" spans="1:33" s="5" customFormat="1" hidden="1" x14ac:dyDescent="0.25">
      <c r="A67" s="38" t="str">
        <f>A$19</f>
        <v>broutard</v>
      </c>
      <c r="B67" s="61">
        <f t="shared" ref="B67:Y67" si="23">B43*B56*B$3</f>
        <v>102.48599999999999</v>
      </c>
      <c r="C67" s="61">
        <f t="shared" si="23"/>
        <v>102.48599999999999</v>
      </c>
      <c r="D67" s="61">
        <f t="shared" si="23"/>
        <v>92.567999999999984</v>
      </c>
      <c r="E67" s="61">
        <f t="shared" si="23"/>
        <v>92.567999999999984</v>
      </c>
      <c r="F67" s="61">
        <f t="shared" si="23"/>
        <v>97.091999999999985</v>
      </c>
      <c r="G67" s="61">
        <f t="shared" si="23"/>
        <v>91.697999999999993</v>
      </c>
      <c r="H67" s="61">
        <f t="shared" si="23"/>
        <v>83.52</v>
      </c>
      <c r="I67" s="61">
        <f t="shared" si="23"/>
        <v>78.3</v>
      </c>
      <c r="J67" s="61">
        <f t="shared" si="23"/>
        <v>0</v>
      </c>
      <c r="K67" s="61">
        <f t="shared" si="23"/>
        <v>0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80.91</v>
      </c>
      <c r="U67" s="61">
        <f t="shared" si="23"/>
        <v>86.303999999999988</v>
      </c>
      <c r="V67" s="61">
        <f t="shared" si="23"/>
        <v>91.35</v>
      </c>
      <c r="W67" s="61">
        <f t="shared" si="23"/>
        <v>96.57</v>
      </c>
      <c r="X67" s="61">
        <f t="shared" si="23"/>
        <v>102.48599999999999</v>
      </c>
      <c r="Y67" s="61">
        <f t="shared" si="23"/>
        <v>102.48599999999999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683</v>
      </c>
      <c r="C73" s="64">
        <f t="shared" ref="C73:Y73" si="29">ROUND(SUM(C63:C72),0)</f>
        <v>683</v>
      </c>
      <c r="D73" s="64">
        <f t="shared" si="29"/>
        <v>617</v>
      </c>
      <c r="E73" s="64">
        <f t="shared" si="29"/>
        <v>623</v>
      </c>
      <c r="F73" s="64">
        <f t="shared" si="29"/>
        <v>660</v>
      </c>
      <c r="G73" s="64">
        <f t="shared" si="29"/>
        <v>643</v>
      </c>
      <c r="H73" s="64">
        <f t="shared" si="29"/>
        <v>369</v>
      </c>
      <c r="I73" s="64">
        <f t="shared" si="29"/>
        <v>367</v>
      </c>
      <c r="J73" s="64">
        <f t="shared" si="29"/>
        <v>69</v>
      </c>
      <c r="K73" s="64">
        <f t="shared" si="29"/>
        <v>69</v>
      </c>
      <c r="L73" s="64">
        <f t="shared" si="29"/>
        <v>73</v>
      </c>
      <c r="M73" s="64">
        <f t="shared" si="29"/>
        <v>73</v>
      </c>
      <c r="N73" s="64">
        <f t="shared" si="29"/>
        <v>76</v>
      </c>
      <c r="O73" s="64">
        <f t="shared" si="29"/>
        <v>76</v>
      </c>
      <c r="P73" s="64">
        <f t="shared" si="29"/>
        <v>76</v>
      </c>
      <c r="Q73" s="64">
        <f t="shared" si="29"/>
        <v>76</v>
      </c>
      <c r="R73" s="64">
        <f t="shared" si="29"/>
        <v>67</v>
      </c>
      <c r="S73" s="64">
        <f t="shared" si="29"/>
        <v>61</v>
      </c>
      <c r="T73" s="64">
        <f t="shared" si="29"/>
        <v>360</v>
      </c>
      <c r="U73" s="64">
        <f t="shared" si="29"/>
        <v>369</v>
      </c>
      <c r="V73" s="64">
        <f t="shared" si="29"/>
        <v>627</v>
      </c>
      <c r="W73" s="64">
        <f t="shared" si="29"/>
        <v>650</v>
      </c>
      <c r="X73" s="64">
        <f t="shared" si="29"/>
        <v>683</v>
      </c>
      <c r="Y73" s="64">
        <f t="shared" si="29"/>
        <v>683</v>
      </c>
      <c r="Z73" s="52"/>
      <c r="AA73" s="56">
        <f>ROUND(SUM(B73:Y73),0)</f>
        <v>8733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469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>
        <v>1</v>
      </c>
      <c r="C77" s="60">
        <v>1</v>
      </c>
      <c r="D77" s="60">
        <v>1</v>
      </c>
      <c r="E77" s="60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2</v>
      </c>
      <c r="W77" s="60">
        <v>1</v>
      </c>
      <c r="X77" s="60">
        <v>1</v>
      </c>
      <c r="Y77" s="60">
        <v>1</v>
      </c>
      <c r="AB77" t="s">
        <v>437</v>
      </c>
      <c r="AC77">
        <f>COUNTIF($B$76:$Y$85,"&gt;0")/2</f>
        <v>28.5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20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60">
        <v>1</v>
      </c>
      <c r="X79" s="60">
        <v>1</v>
      </c>
      <c r="Y79" s="60"/>
      <c r="AB79" s="142">
        <v>2</v>
      </c>
      <c r="AC79">
        <f t="shared" ref="AC79:AC81" si="30">COUNTIF($B$76:$Y$85,AB79)/2</f>
        <v>8.5</v>
      </c>
      <c r="AG79" s="5"/>
    </row>
    <row r="80" spans="1:33" x14ac:dyDescent="0.25">
      <c r="A80" s="128" t="str">
        <f>A$19</f>
        <v>broutard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broutard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</v>
      </c>
      <c r="C99" s="61">
        <f t="shared" ref="C99:X99" si="31">VLOOKUP(C88,$AD$6:$AF$10,3)</f>
        <v>10</v>
      </c>
      <c r="D99" s="61">
        <f t="shared" si="31"/>
        <v>10</v>
      </c>
      <c r="E99" s="61">
        <f t="shared" si="31"/>
        <v>10</v>
      </c>
      <c r="F99" s="61">
        <f t="shared" si="31"/>
        <v>10</v>
      </c>
      <c r="G99" s="61">
        <f t="shared" si="31"/>
        <v>10</v>
      </c>
      <c r="H99" s="61">
        <f t="shared" si="31"/>
        <v>12.25</v>
      </c>
      <c r="I99" s="61">
        <f t="shared" si="31"/>
        <v>12.25</v>
      </c>
      <c r="J99" s="61">
        <f t="shared" si="31"/>
        <v>12.25</v>
      </c>
      <c r="K99" s="61">
        <f t="shared" si="31"/>
        <v>12.25</v>
      </c>
      <c r="L99" s="61">
        <f t="shared" si="31"/>
        <v>12.25</v>
      </c>
      <c r="M99" s="61">
        <f t="shared" si="31"/>
        <v>12.25</v>
      </c>
      <c r="N99" s="61">
        <f t="shared" si="31"/>
        <v>12.25</v>
      </c>
      <c r="O99" s="61">
        <f t="shared" si="31"/>
        <v>12.25</v>
      </c>
      <c r="P99" s="61">
        <f t="shared" si="31"/>
        <v>12.25</v>
      </c>
      <c r="Q99" s="61">
        <f t="shared" si="31"/>
        <v>12.25</v>
      </c>
      <c r="R99" s="61">
        <f t="shared" si="31"/>
        <v>11</v>
      </c>
      <c r="S99" s="61">
        <f t="shared" si="31"/>
        <v>11</v>
      </c>
      <c r="T99" s="61">
        <f t="shared" si="31"/>
        <v>14</v>
      </c>
      <c r="U99" s="61">
        <f t="shared" si="31"/>
        <v>14</v>
      </c>
      <c r="V99" s="61">
        <f t="shared" si="31"/>
        <v>10</v>
      </c>
      <c r="W99" s="61">
        <f t="shared" si="31"/>
        <v>10</v>
      </c>
      <c r="X99" s="61">
        <f t="shared" si="31"/>
        <v>10</v>
      </c>
      <c r="Y99" s="61">
        <f>VLOOKUP(Y88,$AD$6:$AF$10,3)</f>
        <v>10</v>
      </c>
    </row>
    <row r="100" spans="1:33" x14ac:dyDescent="0.25">
      <c r="A100" s="128" t="str">
        <f>A$16</f>
        <v>Génisses de renouvellement</v>
      </c>
      <c r="B100" s="61">
        <f t="shared" ref="B100:Y100" si="32">VLOOKUP(B89,$AD$6:$AF$10,3)</f>
        <v>10</v>
      </c>
      <c r="C100" s="61">
        <f t="shared" si="32"/>
        <v>10</v>
      </c>
      <c r="D100" s="61">
        <f t="shared" si="32"/>
        <v>10</v>
      </c>
      <c r="E100" s="61">
        <f t="shared" si="32"/>
        <v>10</v>
      </c>
      <c r="F100" s="61">
        <f t="shared" si="32"/>
        <v>10</v>
      </c>
      <c r="G100" s="61">
        <f t="shared" si="32"/>
        <v>10</v>
      </c>
      <c r="H100" s="61">
        <f t="shared" si="32"/>
        <v>10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10</v>
      </c>
      <c r="S100" s="61">
        <f t="shared" si="32"/>
        <v>10</v>
      </c>
      <c r="T100" s="61">
        <f t="shared" si="32"/>
        <v>10</v>
      </c>
      <c r="U100" s="61">
        <f t="shared" si="32"/>
        <v>10</v>
      </c>
      <c r="V100" s="61">
        <f t="shared" si="32"/>
        <v>10</v>
      </c>
      <c r="W100" s="61">
        <f t="shared" si="32"/>
        <v>10</v>
      </c>
      <c r="X100" s="61">
        <f t="shared" si="32"/>
        <v>10</v>
      </c>
      <c r="Y100" s="61">
        <f t="shared" si="32"/>
        <v>10</v>
      </c>
    </row>
    <row r="101" spans="1:33" x14ac:dyDescent="0.25">
      <c r="A101" s="128" t="str">
        <f>A$17</f>
        <v>génisse 6mois 1 an</v>
      </c>
      <c r="B101" s="61">
        <f t="shared" ref="B101:Y101" si="33">VLOOKUP(B90,$AD$6:$AF$10,3)</f>
        <v>10</v>
      </c>
      <c r="C101" s="61">
        <f t="shared" si="33"/>
        <v>10</v>
      </c>
      <c r="D101" s="61">
        <f t="shared" si="33"/>
        <v>10</v>
      </c>
      <c r="E101" s="61">
        <f t="shared" si="33"/>
        <v>10</v>
      </c>
      <c r="F101" s="61">
        <f t="shared" si="33"/>
        <v>10</v>
      </c>
      <c r="G101" s="61">
        <f t="shared" si="33"/>
        <v>10</v>
      </c>
      <c r="H101" s="61">
        <f t="shared" si="33"/>
        <v>10</v>
      </c>
      <c r="I101" s="61">
        <f t="shared" si="33"/>
        <v>10</v>
      </c>
      <c r="J101" s="61">
        <f t="shared" si="33"/>
        <v>10</v>
      </c>
      <c r="K101" s="61">
        <f t="shared" si="33"/>
        <v>10</v>
      </c>
      <c r="L101" s="61">
        <f t="shared" si="33"/>
        <v>10</v>
      </c>
      <c r="M101" s="61">
        <f t="shared" si="33"/>
        <v>10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10</v>
      </c>
      <c r="S101" s="61">
        <f t="shared" si="33"/>
        <v>10</v>
      </c>
      <c r="T101" s="61">
        <f t="shared" si="33"/>
        <v>10</v>
      </c>
      <c r="U101" s="61">
        <f t="shared" si="33"/>
        <v>10</v>
      </c>
      <c r="V101" s="61">
        <f t="shared" si="33"/>
        <v>10</v>
      </c>
      <c r="W101" s="61">
        <f t="shared" si="33"/>
        <v>10</v>
      </c>
      <c r="X101" s="61">
        <f t="shared" si="33"/>
        <v>10</v>
      </c>
      <c r="Y101" s="61">
        <f t="shared" si="33"/>
        <v>10</v>
      </c>
    </row>
    <row r="102" spans="1:33" x14ac:dyDescent="0.25">
      <c r="A102" s="127" t="str">
        <f>A$18</f>
        <v>réforme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broutard</v>
      </c>
      <c r="B103" s="61">
        <f t="shared" ref="B103:Y103" si="35">VLOOKUP(B92,$AD$6:$AF$10,3)</f>
        <v>12.25</v>
      </c>
      <c r="C103" s="61">
        <f t="shared" si="35"/>
        <v>12.25</v>
      </c>
      <c r="D103" s="61">
        <f t="shared" si="35"/>
        <v>12.25</v>
      </c>
      <c r="E103" s="61">
        <f t="shared" si="35"/>
        <v>12.25</v>
      </c>
      <c r="F103" s="61">
        <f t="shared" si="35"/>
        <v>12.25</v>
      </c>
      <c r="G103" s="61">
        <f t="shared" si="35"/>
        <v>12.25</v>
      </c>
      <c r="H103" s="61">
        <f t="shared" si="35"/>
        <v>12.25</v>
      </c>
      <c r="I103" s="61">
        <f t="shared" si="35"/>
        <v>12.25</v>
      </c>
      <c r="J103" s="61">
        <f t="shared" si="35"/>
        <v>12.25</v>
      </c>
      <c r="K103" s="61">
        <f t="shared" si="35"/>
        <v>12.25</v>
      </c>
      <c r="L103" s="61">
        <f t="shared" si="35"/>
        <v>12.25</v>
      </c>
      <c r="M103" s="61">
        <f t="shared" si="35"/>
        <v>12.25</v>
      </c>
      <c r="N103" s="61">
        <f t="shared" si="35"/>
        <v>12.25</v>
      </c>
      <c r="O103" s="61">
        <f t="shared" si="35"/>
        <v>12.25</v>
      </c>
      <c r="P103" s="61">
        <f t="shared" si="35"/>
        <v>12.25</v>
      </c>
      <c r="Q103" s="61">
        <f t="shared" si="35"/>
        <v>12.25</v>
      </c>
      <c r="R103" s="61">
        <f t="shared" si="35"/>
        <v>12.25</v>
      </c>
      <c r="S103" s="61">
        <f t="shared" si="35"/>
        <v>12.25</v>
      </c>
      <c r="T103" s="61">
        <f t="shared" si="35"/>
        <v>12.25</v>
      </c>
      <c r="U103" s="61">
        <f t="shared" si="35"/>
        <v>12.25</v>
      </c>
      <c r="V103" s="61">
        <f t="shared" si="35"/>
        <v>12.25</v>
      </c>
      <c r="W103" s="61">
        <f t="shared" si="35"/>
        <v>12.25</v>
      </c>
      <c r="X103" s="61">
        <f t="shared" si="35"/>
        <v>12.25</v>
      </c>
      <c r="Y103" s="61">
        <f t="shared" si="35"/>
        <v>12.25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12.25</v>
      </c>
      <c r="C104" s="61">
        <f t="shared" si="36"/>
        <v>12.25</v>
      </c>
      <c r="D104" s="61">
        <f t="shared" si="36"/>
        <v>12.25</v>
      </c>
      <c r="E104" s="61">
        <f t="shared" si="36"/>
        <v>12.25</v>
      </c>
      <c r="F104" s="61">
        <f t="shared" si="36"/>
        <v>12.25</v>
      </c>
      <c r="G104" s="61">
        <f t="shared" si="36"/>
        <v>12.25</v>
      </c>
      <c r="H104" s="61">
        <f t="shared" si="36"/>
        <v>12.25</v>
      </c>
      <c r="I104" s="61">
        <f t="shared" si="36"/>
        <v>12.25</v>
      </c>
      <c r="J104" s="61">
        <f t="shared" si="36"/>
        <v>12.25</v>
      </c>
      <c r="K104" s="61">
        <f t="shared" si="36"/>
        <v>12.25</v>
      </c>
      <c r="L104" s="61">
        <f t="shared" si="36"/>
        <v>12.25</v>
      </c>
      <c r="M104" s="61">
        <f t="shared" si="36"/>
        <v>12.25</v>
      </c>
      <c r="N104" s="61">
        <f t="shared" si="36"/>
        <v>12.25</v>
      </c>
      <c r="O104" s="61">
        <f t="shared" si="36"/>
        <v>12.25</v>
      </c>
      <c r="P104" s="61">
        <f t="shared" si="36"/>
        <v>12.25</v>
      </c>
      <c r="Q104" s="61">
        <f t="shared" si="36"/>
        <v>12.25</v>
      </c>
      <c r="R104" s="61">
        <f t="shared" si="36"/>
        <v>12.25</v>
      </c>
      <c r="S104" s="61">
        <f t="shared" si="36"/>
        <v>12.25</v>
      </c>
      <c r="T104" s="61">
        <f t="shared" si="36"/>
        <v>12.25</v>
      </c>
      <c r="U104" s="61">
        <f t="shared" si="36"/>
        <v>12.25</v>
      </c>
      <c r="V104" s="61">
        <f t="shared" si="36"/>
        <v>12.25</v>
      </c>
      <c r="W104" s="61">
        <f t="shared" si="36"/>
        <v>12.25</v>
      </c>
      <c r="X104" s="61">
        <f t="shared" si="36"/>
        <v>12.25</v>
      </c>
      <c r="Y104" s="61">
        <f t="shared" si="36"/>
        <v>12.25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12.25</v>
      </c>
      <c r="C105" s="61">
        <f t="shared" si="37"/>
        <v>12.25</v>
      </c>
      <c r="D105" s="61">
        <f t="shared" si="37"/>
        <v>12.25</v>
      </c>
      <c r="E105" s="61">
        <f t="shared" si="37"/>
        <v>12.25</v>
      </c>
      <c r="F105" s="61">
        <f t="shared" si="37"/>
        <v>12.25</v>
      </c>
      <c r="G105" s="61">
        <f t="shared" si="37"/>
        <v>12.25</v>
      </c>
      <c r="H105" s="61">
        <f t="shared" si="37"/>
        <v>12.25</v>
      </c>
      <c r="I105" s="61">
        <f t="shared" si="37"/>
        <v>12.25</v>
      </c>
      <c r="J105" s="61">
        <f t="shared" si="37"/>
        <v>12.25</v>
      </c>
      <c r="K105" s="61">
        <f t="shared" si="37"/>
        <v>12.25</v>
      </c>
      <c r="L105" s="61">
        <f t="shared" si="37"/>
        <v>12.25</v>
      </c>
      <c r="M105" s="61">
        <f t="shared" si="37"/>
        <v>12.25</v>
      </c>
      <c r="N105" s="61">
        <f t="shared" si="37"/>
        <v>12.25</v>
      </c>
      <c r="O105" s="61">
        <f t="shared" si="37"/>
        <v>12.25</v>
      </c>
      <c r="P105" s="61">
        <f t="shared" si="37"/>
        <v>12.25</v>
      </c>
      <c r="Q105" s="61">
        <f t="shared" si="37"/>
        <v>12.25</v>
      </c>
      <c r="R105" s="61">
        <f t="shared" si="37"/>
        <v>12.25</v>
      </c>
      <c r="S105" s="61">
        <f t="shared" si="37"/>
        <v>12.25</v>
      </c>
      <c r="T105" s="61">
        <f t="shared" si="37"/>
        <v>12.25</v>
      </c>
      <c r="U105" s="61">
        <f t="shared" si="37"/>
        <v>12.25</v>
      </c>
      <c r="V105" s="61">
        <f t="shared" si="37"/>
        <v>12.25</v>
      </c>
      <c r="W105" s="61">
        <f t="shared" si="37"/>
        <v>12.25</v>
      </c>
      <c r="X105" s="61">
        <f t="shared" si="37"/>
        <v>12.25</v>
      </c>
      <c r="Y105" s="61">
        <f t="shared" si="37"/>
        <v>12.25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12.25</v>
      </c>
      <c r="C106" s="61">
        <f t="shared" si="38"/>
        <v>12.25</v>
      </c>
      <c r="D106" s="61">
        <f t="shared" si="38"/>
        <v>12.25</v>
      </c>
      <c r="E106" s="61">
        <f t="shared" si="38"/>
        <v>12.25</v>
      </c>
      <c r="F106" s="61">
        <f t="shared" si="38"/>
        <v>12.25</v>
      </c>
      <c r="G106" s="61">
        <f t="shared" si="38"/>
        <v>12.25</v>
      </c>
      <c r="H106" s="61">
        <f t="shared" si="38"/>
        <v>12.25</v>
      </c>
      <c r="I106" s="61">
        <f t="shared" si="38"/>
        <v>12.25</v>
      </c>
      <c r="J106" s="61">
        <f t="shared" si="38"/>
        <v>12.25</v>
      </c>
      <c r="K106" s="61">
        <f t="shared" si="38"/>
        <v>12.25</v>
      </c>
      <c r="L106" s="61">
        <f t="shared" si="38"/>
        <v>12.25</v>
      </c>
      <c r="M106" s="61">
        <f t="shared" si="38"/>
        <v>12.25</v>
      </c>
      <c r="N106" s="61">
        <f t="shared" si="38"/>
        <v>12.25</v>
      </c>
      <c r="O106" s="61">
        <f t="shared" si="38"/>
        <v>12.25</v>
      </c>
      <c r="P106" s="61">
        <f t="shared" si="38"/>
        <v>12.25</v>
      </c>
      <c r="Q106" s="61">
        <f t="shared" si="38"/>
        <v>12.25</v>
      </c>
      <c r="R106" s="61">
        <f t="shared" si="38"/>
        <v>12.25</v>
      </c>
      <c r="S106" s="61">
        <f t="shared" si="38"/>
        <v>12.25</v>
      </c>
      <c r="T106" s="61">
        <f t="shared" si="38"/>
        <v>12.25</v>
      </c>
      <c r="U106" s="61">
        <f t="shared" si="38"/>
        <v>12.25</v>
      </c>
      <c r="V106" s="61">
        <f t="shared" si="38"/>
        <v>12.25</v>
      </c>
      <c r="W106" s="61">
        <f t="shared" si="38"/>
        <v>12.25</v>
      </c>
      <c r="X106" s="61">
        <f t="shared" si="38"/>
        <v>12.25</v>
      </c>
      <c r="Y106" s="61">
        <f t="shared" si="38"/>
        <v>12.25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12.25</v>
      </c>
      <c r="C107" s="61">
        <f t="shared" si="39"/>
        <v>12.25</v>
      </c>
      <c r="D107" s="61">
        <f t="shared" si="39"/>
        <v>12.25</v>
      </c>
      <c r="E107" s="61">
        <f t="shared" si="39"/>
        <v>12.25</v>
      </c>
      <c r="F107" s="61">
        <f t="shared" si="39"/>
        <v>12.25</v>
      </c>
      <c r="G107" s="61">
        <f t="shared" si="39"/>
        <v>12.25</v>
      </c>
      <c r="H107" s="61">
        <f t="shared" si="39"/>
        <v>12.25</v>
      </c>
      <c r="I107" s="61">
        <f t="shared" si="39"/>
        <v>12.25</v>
      </c>
      <c r="J107" s="61">
        <f t="shared" si="39"/>
        <v>12.25</v>
      </c>
      <c r="K107" s="61">
        <f t="shared" si="39"/>
        <v>12.25</v>
      </c>
      <c r="L107" s="61">
        <f t="shared" si="39"/>
        <v>12.25</v>
      </c>
      <c r="M107" s="61">
        <f t="shared" si="39"/>
        <v>12.25</v>
      </c>
      <c r="N107" s="61">
        <f t="shared" si="39"/>
        <v>12.25</v>
      </c>
      <c r="O107" s="61">
        <f t="shared" si="39"/>
        <v>12.25</v>
      </c>
      <c r="P107" s="61">
        <f t="shared" si="39"/>
        <v>12.25</v>
      </c>
      <c r="Q107" s="61">
        <f t="shared" si="39"/>
        <v>12.25</v>
      </c>
      <c r="R107" s="61">
        <f t="shared" si="39"/>
        <v>12.25</v>
      </c>
      <c r="S107" s="61">
        <f t="shared" si="39"/>
        <v>12.25</v>
      </c>
      <c r="T107" s="61">
        <f t="shared" si="39"/>
        <v>12.25</v>
      </c>
      <c r="U107" s="61">
        <f t="shared" si="39"/>
        <v>12.25</v>
      </c>
      <c r="V107" s="61">
        <f t="shared" si="39"/>
        <v>12.25</v>
      </c>
      <c r="W107" s="61">
        <f t="shared" si="39"/>
        <v>12.25</v>
      </c>
      <c r="X107" s="61">
        <f t="shared" si="39"/>
        <v>12.25</v>
      </c>
      <c r="Y107" s="61">
        <f t="shared" si="39"/>
        <v>12.25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12.25</v>
      </c>
      <c r="C108" s="61">
        <f t="shared" si="40"/>
        <v>12.25</v>
      </c>
      <c r="D108" s="61">
        <f t="shared" si="40"/>
        <v>12.25</v>
      </c>
      <c r="E108" s="61">
        <f t="shared" si="40"/>
        <v>12.25</v>
      </c>
      <c r="F108" s="61">
        <f t="shared" si="40"/>
        <v>12.25</v>
      </c>
      <c r="G108" s="61">
        <f t="shared" si="40"/>
        <v>12.25</v>
      </c>
      <c r="H108" s="61">
        <f t="shared" si="40"/>
        <v>12.25</v>
      </c>
      <c r="I108" s="61">
        <f t="shared" si="40"/>
        <v>12.25</v>
      </c>
      <c r="J108" s="61">
        <f t="shared" si="40"/>
        <v>12.25</v>
      </c>
      <c r="K108" s="61">
        <f t="shared" si="40"/>
        <v>12.25</v>
      </c>
      <c r="L108" s="61">
        <f t="shared" si="40"/>
        <v>12.25</v>
      </c>
      <c r="M108" s="61">
        <f t="shared" si="40"/>
        <v>12.25</v>
      </c>
      <c r="N108" s="61">
        <f t="shared" si="40"/>
        <v>12.25</v>
      </c>
      <c r="O108" s="61">
        <f t="shared" si="40"/>
        <v>12.25</v>
      </c>
      <c r="P108" s="61">
        <f t="shared" si="40"/>
        <v>12.25</v>
      </c>
      <c r="Q108" s="61">
        <f t="shared" si="40"/>
        <v>12.25</v>
      </c>
      <c r="R108" s="61">
        <f t="shared" si="40"/>
        <v>12.25</v>
      </c>
      <c r="S108" s="61">
        <f t="shared" si="40"/>
        <v>12.25</v>
      </c>
      <c r="T108" s="61">
        <f t="shared" si="40"/>
        <v>12.25</v>
      </c>
      <c r="U108" s="61">
        <f t="shared" si="40"/>
        <v>12.25</v>
      </c>
      <c r="V108" s="61">
        <f t="shared" si="40"/>
        <v>12.25</v>
      </c>
      <c r="W108" s="61">
        <f t="shared" si="40"/>
        <v>12.25</v>
      </c>
      <c r="X108" s="61">
        <f t="shared" si="40"/>
        <v>12.25</v>
      </c>
      <c r="Y108" s="61">
        <f t="shared" si="40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41">(B39*B$3*B99)/1000</f>
        <v>5.8075399999999995</v>
      </c>
      <c r="C110" s="61">
        <f t="shared" si="41"/>
        <v>5.8075399999999995</v>
      </c>
      <c r="D110" s="61">
        <f t="shared" si="41"/>
        <v>5.2455199999999982</v>
      </c>
      <c r="E110" s="61">
        <f t="shared" si="41"/>
        <v>5.2455199999999982</v>
      </c>
      <c r="F110" s="61">
        <f t="shared" si="41"/>
        <v>5.501879999999999</v>
      </c>
      <c r="G110" s="61">
        <f t="shared" si="41"/>
        <v>5.1962199999999994</v>
      </c>
      <c r="H110" s="61">
        <f t="shared" si="41"/>
        <v>5.7976799999999997</v>
      </c>
      <c r="I110" s="61">
        <f t="shared" si="41"/>
        <v>5.4353249999999997</v>
      </c>
      <c r="J110" s="61">
        <f t="shared" si="41"/>
        <v>5.42928575</v>
      </c>
      <c r="K110" s="61">
        <f t="shared" si="41"/>
        <v>5.2420689999999999</v>
      </c>
      <c r="L110" s="61">
        <f t="shared" si="41"/>
        <v>4.8917924999999993</v>
      </c>
      <c r="M110" s="61">
        <f t="shared" si="41"/>
        <v>4.8917924999999993</v>
      </c>
      <c r="N110" s="61">
        <f t="shared" si="41"/>
        <v>5.0548522499999997</v>
      </c>
      <c r="O110" s="61">
        <f t="shared" si="41"/>
        <v>5.0548522499999997</v>
      </c>
      <c r="P110" s="61">
        <f t="shared" si="41"/>
        <v>4.8676355000000004</v>
      </c>
      <c r="Q110" s="61">
        <f t="shared" si="41"/>
        <v>4.8676355000000004</v>
      </c>
      <c r="R110" s="61">
        <f t="shared" si="41"/>
        <v>4.3926300000000005</v>
      </c>
      <c r="S110" s="61">
        <f t="shared" si="41"/>
        <v>4.55532</v>
      </c>
      <c r="T110" s="61">
        <f t="shared" si="41"/>
        <v>6.4188599999999996</v>
      </c>
      <c r="U110" s="61">
        <f t="shared" si="41"/>
        <v>6.8467839999999986</v>
      </c>
      <c r="V110" s="61">
        <f t="shared" si="41"/>
        <v>5.1764999999999999</v>
      </c>
      <c r="W110" s="61">
        <f t="shared" si="41"/>
        <v>5.4723000000000006</v>
      </c>
      <c r="X110" s="61">
        <f t="shared" si="41"/>
        <v>5.8075399999999995</v>
      </c>
      <c r="Y110" s="61">
        <f t="shared" si="41"/>
        <v>5.8075399999999995</v>
      </c>
    </row>
    <row r="111" spans="1:33" x14ac:dyDescent="0.25">
      <c r="A111" s="128" t="str">
        <f>A$16</f>
        <v>Génisses de renouvellement</v>
      </c>
      <c r="B111" s="61">
        <f t="shared" ref="B111:Y111" si="42">(B40*B$3*B100)/1000</f>
        <v>3.0206399999999993</v>
      </c>
      <c r="C111" s="61">
        <f t="shared" si="42"/>
        <v>3.0206399999999993</v>
      </c>
      <c r="D111" s="61">
        <f t="shared" si="42"/>
        <v>2.7283199999999996</v>
      </c>
      <c r="E111" s="61">
        <f t="shared" si="42"/>
        <v>2.7283199999999996</v>
      </c>
      <c r="F111" s="61">
        <f t="shared" si="42"/>
        <v>3.0206399999999993</v>
      </c>
      <c r="G111" s="61">
        <f t="shared" si="42"/>
        <v>3.0206399999999993</v>
      </c>
      <c r="H111" s="61">
        <f t="shared" si="42"/>
        <v>2.9232</v>
      </c>
      <c r="I111" s="61">
        <f t="shared" si="42"/>
        <v>3.80016</v>
      </c>
      <c r="J111" s="61">
        <f t="shared" si="42"/>
        <v>3.9268319999999992</v>
      </c>
      <c r="K111" s="61">
        <f t="shared" si="42"/>
        <v>3.9268319999999992</v>
      </c>
      <c r="L111" s="61">
        <f t="shared" si="42"/>
        <v>3.80016</v>
      </c>
      <c r="M111" s="61">
        <f t="shared" si="42"/>
        <v>3.80016</v>
      </c>
      <c r="N111" s="61">
        <f t="shared" si="42"/>
        <v>3.9268319999999992</v>
      </c>
      <c r="O111" s="61">
        <f t="shared" si="42"/>
        <v>3.9268319999999992</v>
      </c>
      <c r="P111" s="61">
        <f t="shared" si="42"/>
        <v>3.9268319999999992</v>
      </c>
      <c r="Q111" s="61">
        <f t="shared" si="42"/>
        <v>3.9268319999999992</v>
      </c>
      <c r="R111" s="61">
        <f t="shared" si="42"/>
        <v>2.9232</v>
      </c>
      <c r="S111" s="61">
        <f t="shared" si="42"/>
        <v>2.9232</v>
      </c>
      <c r="T111" s="61">
        <f t="shared" si="42"/>
        <v>3.0206399999999993</v>
      </c>
      <c r="U111" s="61">
        <f t="shared" si="42"/>
        <v>3.0206399999999993</v>
      </c>
      <c r="V111" s="61">
        <f t="shared" si="42"/>
        <v>2.9232</v>
      </c>
      <c r="W111" s="61">
        <f t="shared" si="42"/>
        <v>2.9232</v>
      </c>
      <c r="X111" s="61">
        <f t="shared" si="42"/>
        <v>3.0206399999999993</v>
      </c>
      <c r="Y111" s="61">
        <f t="shared" si="42"/>
        <v>3.0206399999999993</v>
      </c>
    </row>
    <row r="112" spans="1:33" x14ac:dyDescent="0.25">
      <c r="A112" s="128" t="str">
        <f>A$17</f>
        <v>génisse 6mois 1 an</v>
      </c>
      <c r="B112" s="61">
        <f t="shared" ref="B112:Y112" si="43">(B41*B$3*B101)/1000</f>
        <v>0</v>
      </c>
      <c r="C112" s="61">
        <f t="shared" si="43"/>
        <v>0</v>
      </c>
      <c r="D112" s="61">
        <f t="shared" si="43"/>
        <v>0</v>
      </c>
      <c r="E112" s="61">
        <f t="shared" si="43"/>
        <v>5.6839999999999988E-2</v>
      </c>
      <c r="F112" s="61">
        <f t="shared" si="43"/>
        <v>0.12585999999999997</v>
      </c>
      <c r="G112" s="61">
        <f t="shared" si="43"/>
        <v>0.31464999999999999</v>
      </c>
      <c r="H112" s="61">
        <f t="shared" si="43"/>
        <v>0.48719999999999997</v>
      </c>
      <c r="I112" s="61">
        <f t="shared" si="43"/>
        <v>0.66989999999999994</v>
      </c>
      <c r="J112" s="61">
        <f t="shared" si="43"/>
        <v>0.69222999999999979</v>
      </c>
      <c r="K112" s="61">
        <f t="shared" si="43"/>
        <v>0.69222999999999979</v>
      </c>
      <c r="L112" s="61">
        <f t="shared" si="43"/>
        <v>0.73080000000000001</v>
      </c>
      <c r="M112" s="61">
        <f t="shared" si="43"/>
        <v>0.73080000000000001</v>
      </c>
      <c r="N112" s="61">
        <f t="shared" si="43"/>
        <v>0.9817079999999998</v>
      </c>
      <c r="O112" s="61">
        <f t="shared" si="43"/>
        <v>0.9817079999999998</v>
      </c>
      <c r="P112" s="61">
        <f t="shared" si="43"/>
        <v>0.9817079999999998</v>
      </c>
      <c r="Q112" s="61">
        <f t="shared" si="43"/>
        <v>0.9817079999999998</v>
      </c>
      <c r="R112" s="61">
        <f t="shared" si="43"/>
        <v>0.66989999999999994</v>
      </c>
      <c r="S112" s="61">
        <f t="shared" si="43"/>
        <v>0.60899999999999987</v>
      </c>
      <c r="T112" s="61">
        <f t="shared" si="43"/>
        <v>0.50343999999999989</v>
      </c>
      <c r="U112" s="61">
        <f t="shared" si="43"/>
        <v>0.37757999999999992</v>
      </c>
      <c r="V112" s="61">
        <f t="shared" si="43"/>
        <v>0.1827</v>
      </c>
      <c r="W112" s="61">
        <f t="shared" si="43"/>
        <v>6.0899999999999996E-2</v>
      </c>
      <c r="X112" s="61">
        <f t="shared" si="43"/>
        <v>0</v>
      </c>
      <c r="Y112" s="61">
        <f t="shared" si="43"/>
        <v>0</v>
      </c>
    </row>
    <row r="113" spans="1:29" x14ac:dyDescent="0.25">
      <c r="A113" s="127" t="str">
        <f>A$18</f>
        <v>réforme</v>
      </c>
      <c r="B113" s="61">
        <f t="shared" ref="B113:Y113" si="44">(B42*B$3*B102)/1000</f>
        <v>0</v>
      </c>
      <c r="C113" s="61">
        <f t="shared" si="44"/>
        <v>0</v>
      </c>
      <c r="D113" s="61">
        <f t="shared" si="44"/>
        <v>0</v>
      </c>
      <c r="E113" s="61">
        <f t="shared" si="44"/>
        <v>0</v>
      </c>
      <c r="F113" s="61">
        <f t="shared" si="44"/>
        <v>0.39735799999999993</v>
      </c>
      <c r="G113" s="61">
        <f t="shared" si="44"/>
        <v>0.79471599999999987</v>
      </c>
      <c r="H113" s="61">
        <f t="shared" si="44"/>
        <v>1.1536199999999999</v>
      </c>
      <c r="I113" s="61">
        <f t="shared" si="44"/>
        <v>1.5381599999999995</v>
      </c>
      <c r="J113" s="61">
        <f t="shared" si="44"/>
        <v>1.7881109999999996</v>
      </c>
      <c r="K113" s="61">
        <f t="shared" si="44"/>
        <v>1.9867899999999998</v>
      </c>
      <c r="L113" s="61">
        <f t="shared" si="44"/>
        <v>2.11497</v>
      </c>
      <c r="M113" s="61">
        <f t="shared" si="44"/>
        <v>2.11497</v>
      </c>
      <c r="N113" s="61">
        <f t="shared" si="44"/>
        <v>2.1854689999999999</v>
      </c>
      <c r="O113" s="61">
        <f t="shared" si="44"/>
        <v>2.1854689999999999</v>
      </c>
      <c r="P113" s="61">
        <f t="shared" si="44"/>
        <v>2.1854689999999999</v>
      </c>
      <c r="Q113" s="61">
        <f t="shared" si="44"/>
        <v>1.9867899999999998</v>
      </c>
      <c r="R113" s="61">
        <f t="shared" si="44"/>
        <v>1.7304299999999999</v>
      </c>
      <c r="S113" s="61">
        <f t="shared" si="44"/>
        <v>1.7304299999999999</v>
      </c>
      <c r="T113" s="61">
        <f t="shared" si="44"/>
        <v>1.1920739999999999</v>
      </c>
      <c r="U113" s="61">
        <f t="shared" si="44"/>
        <v>0.99339499999999992</v>
      </c>
      <c r="V113" s="61">
        <f t="shared" si="44"/>
        <v>0.57680999999999993</v>
      </c>
      <c r="W113" s="61">
        <f t="shared" si="44"/>
        <v>0.38453999999999988</v>
      </c>
      <c r="X113" s="61">
        <f t="shared" si="44"/>
        <v>0.19867899999999997</v>
      </c>
      <c r="Y113" s="61">
        <f t="shared" si="44"/>
        <v>0</v>
      </c>
    </row>
    <row r="114" spans="1:29" x14ac:dyDescent="0.25">
      <c r="A114" s="128" t="str">
        <f>A$19</f>
        <v>broutard</v>
      </c>
      <c r="B114" s="61">
        <f t="shared" ref="B114:Y114" si="45">(B43*B$3*B103)/1000</f>
        <v>1.2554534999999998</v>
      </c>
      <c r="C114" s="61">
        <f t="shared" si="45"/>
        <v>1.2554534999999998</v>
      </c>
      <c r="D114" s="61">
        <f t="shared" si="45"/>
        <v>1.1339579999999998</v>
      </c>
      <c r="E114" s="61">
        <f t="shared" si="45"/>
        <v>1.1339579999999998</v>
      </c>
      <c r="F114" s="61">
        <f t="shared" si="45"/>
        <v>1.1893769999999997</v>
      </c>
      <c r="G114" s="61">
        <f t="shared" si="45"/>
        <v>1.1233004999999998</v>
      </c>
      <c r="H114" s="61">
        <f t="shared" si="45"/>
        <v>1.02312</v>
      </c>
      <c r="I114" s="61">
        <f t="shared" si="45"/>
        <v>0.959175</v>
      </c>
      <c r="J114" s="61">
        <f t="shared" si="45"/>
        <v>0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0.99114749999999996</v>
      </c>
      <c r="U114" s="61">
        <f t="shared" si="45"/>
        <v>1.0572239999999999</v>
      </c>
      <c r="V114" s="61">
        <f t="shared" si="45"/>
        <v>1.1190374999999999</v>
      </c>
      <c r="W114" s="61">
        <f t="shared" si="45"/>
        <v>1.1829824999999998</v>
      </c>
      <c r="X114" s="61">
        <f t="shared" si="45"/>
        <v>1.2554534999999998</v>
      </c>
      <c r="Y114" s="61">
        <f t="shared" si="45"/>
        <v>1.2554534999999998</v>
      </c>
    </row>
    <row r="115" spans="1:29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29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29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29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29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29" x14ac:dyDescent="0.25">
      <c r="A120" s="38" t="s">
        <v>201</v>
      </c>
      <c r="B120" s="61">
        <f>ROUNDUP(SUM(B110:B119),1)</f>
        <v>10.1</v>
      </c>
      <c r="C120" s="61">
        <f t="shared" ref="C120:Y120" si="51">SUM(C110:C119)</f>
        <v>10.083633499999999</v>
      </c>
      <c r="D120" s="61">
        <f t="shared" si="51"/>
        <v>9.1077979999999972</v>
      </c>
      <c r="E120" s="61">
        <f t="shared" si="51"/>
        <v>9.1646379999999965</v>
      </c>
      <c r="F120" s="61">
        <f t="shared" si="51"/>
        <v>10.235114999999999</v>
      </c>
      <c r="G120" s="61">
        <f t="shared" si="51"/>
        <v>10.449526499999997</v>
      </c>
      <c r="H120" s="61">
        <f t="shared" si="51"/>
        <v>11.384819999999999</v>
      </c>
      <c r="I120" s="61">
        <f t="shared" si="51"/>
        <v>12.40272</v>
      </c>
      <c r="J120" s="61">
        <f t="shared" si="51"/>
        <v>11.836458749999998</v>
      </c>
      <c r="K120" s="61">
        <f t="shared" si="51"/>
        <v>11.847920999999998</v>
      </c>
      <c r="L120" s="61">
        <f t="shared" si="51"/>
        <v>11.537722499999999</v>
      </c>
      <c r="M120" s="61">
        <f t="shared" si="51"/>
        <v>11.537722499999999</v>
      </c>
      <c r="N120" s="61">
        <f t="shared" si="51"/>
        <v>12.148861249999998</v>
      </c>
      <c r="O120" s="61">
        <f t="shared" si="51"/>
        <v>12.148861249999998</v>
      </c>
      <c r="P120" s="61">
        <f t="shared" si="51"/>
        <v>11.961644499999998</v>
      </c>
      <c r="Q120" s="61">
        <f t="shared" si="51"/>
        <v>11.762965499999998</v>
      </c>
      <c r="R120" s="61">
        <f t="shared" si="51"/>
        <v>9.7161600000000004</v>
      </c>
      <c r="S120" s="61">
        <f t="shared" si="51"/>
        <v>9.8179499999999997</v>
      </c>
      <c r="T120" s="61">
        <f t="shared" si="51"/>
        <v>12.126161499999998</v>
      </c>
      <c r="U120" s="61">
        <f t="shared" si="51"/>
        <v>12.295622999999997</v>
      </c>
      <c r="V120" s="61">
        <f t="shared" si="51"/>
        <v>9.9782475000000002</v>
      </c>
      <c r="W120" s="61">
        <f t="shared" si="51"/>
        <v>10.023922499999999</v>
      </c>
      <c r="X120" s="61">
        <f t="shared" si="51"/>
        <v>10.2823125</v>
      </c>
      <c r="Y120" s="61">
        <f t="shared" si="51"/>
        <v>10.083633499999999</v>
      </c>
      <c r="AA120" s="57">
        <f>SUM(B120:Y120)</f>
        <v>262.03441874999999</v>
      </c>
      <c r="AB120" t="s">
        <v>38</v>
      </c>
      <c r="AC120" t="s">
        <v>205</v>
      </c>
    </row>
    <row r="121" spans="1:29" x14ac:dyDescent="0.25">
      <c r="AA121">
        <f>AA49*4.75</f>
        <v>299.04377083333333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0.8</v>
      </c>
      <c r="I123" s="60">
        <v>0.8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Génisses de renouvellement</v>
      </c>
      <c r="B124" s="60">
        <v>0.8</v>
      </c>
      <c r="C124" s="60">
        <v>0.8</v>
      </c>
      <c r="D124" s="60">
        <v>0.8</v>
      </c>
      <c r="E124" s="60">
        <v>0.8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0.8</v>
      </c>
    </row>
    <row r="125" spans="1:29" x14ac:dyDescent="0.25">
      <c r="A125" s="128" t="str">
        <f>A$17</f>
        <v>génisse 6mois 1 an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réforme</v>
      </c>
      <c r="B126" s="60">
        <v>0</v>
      </c>
      <c r="C126" s="60">
        <v>0</v>
      </c>
      <c r="D126" s="60">
        <v>0</v>
      </c>
      <c r="E126" s="60">
        <v>0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0</v>
      </c>
    </row>
    <row r="127" spans="1:29" x14ac:dyDescent="0.25">
      <c r="A127" s="128" t="str">
        <f>A$19</f>
        <v>broutard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5.8075399999999995</v>
      </c>
      <c r="C136" s="61">
        <f t="shared" ref="C136:Y136" si="52">C110*(1-C123)</f>
        <v>5.8075399999999995</v>
      </c>
      <c r="D136" s="61">
        <f t="shared" si="52"/>
        <v>5.2455199999999982</v>
      </c>
      <c r="E136" s="61">
        <f t="shared" si="52"/>
        <v>5.2455199999999982</v>
      </c>
      <c r="F136" s="61">
        <f t="shared" si="52"/>
        <v>5.501879999999999</v>
      </c>
      <c r="G136" s="61">
        <f t="shared" si="52"/>
        <v>5.1962199999999994</v>
      </c>
      <c r="H136" s="61">
        <f t="shared" si="52"/>
        <v>1.1595359999999997</v>
      </c>
      <c r="I136" s="61">
        <f t="shared" si="52"/>
        <v>1.0870649999999997</v>
      </c>
      <c r="J136" s="61">
        <f t="shared" si="52"/>
        <v>0</v>
      </c>
      <c r="K136" s="61">
        <f t="shared" si="52"/>
        <v>0</v>
      </c>
      <c r="L136" s="61">
        <f t="shared" si="52"/>
        <v>0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0</v>
      </c>
      <c r="S136" s="61">
        <f t="shared" si="52"/>
        <v>0</v>
      </c>
      <c r="T136" s="61">
        <f t="shared" si="52"/>
        <v>0</v>
      </c>
      <c r="U136" s="61">
        <f t="shared" si="52"/>
        <v>0</v>
      </c>
      <c r="V136" s="61">
        <f t="shared" si="52"/>
        <v>5.1764999999999999</v>
      </c>
      <c r="W136" s="61">
        <f t="shared" si="52"/>
        <v>5.4723000000000006</v>
      </c>
      <c r="X136" s="61">
        <f t="shared" si="52"/>
        <v>5.8075399999999995</v>
      </c>
      <c r="Y136" s="61">
        <f t="shared" si="52"/>
        <v>5.8075399999999995</v>
      </c>
      <c r="AA136" s="61">
        <f>SUM(B136:Y136)</f>
        <v>57.314700999999999</v>
      </c>
    </row>
    <row r="137" spans="1:31" x14ac:dyDescent="0.25">
      <c r="A137" s="128" t="str">
        <f>A$16</f>
        <v>Génisses de renouvellement</v>
      </c>
      <c r="B137" s="61">
        <f t="shared" ref="B137:Y144" si="53">B111*(1-B124)</f>
        <v>0.60412799999999978</v>
      </c>
      <c r="C137" s="61">
        <f t="shared" si="53"/>
        <v>0.60412799999999978</v>
      </c>
      <c r="D137" s="61">
        <f t="shared" si="53"/>
        <v>0.54566399999999982</v>
      </c>
      <c r="E137" s="61">
        <f t="shared" si="53"/>
        <v>0.54566399999999982</v>
      </c>
      <c r="F137" s="61">
        <f t="shared" si="53"/>
        <v>0</v>
      </c>
      <c r="G137" s="61">
        <f t="shared" si="53"/>
        <v>0</v>
      </c>
      <c r="H137" s="61">
        <f t="shared" si="53"/>
        <v>0</v>
      </c>
      <c r="I137" s="61">
        <f t="shared" si="53"/>
        <v>0</v>
      </c>
      <c r="J137" s="61">
        <f t="shared" si="53"/>
        <v>0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0</v>
      </c>
      <c r="Y137" s="61">
        <f t="shared" si="53"/>
        <v>0.60412799999999978</v>
      </c>
      <c r="AA137" s="61">
        <f>SUM(B137:Y137)</f>
        <v>2.9037119999999992</v>
      </c>
    </row>
    <row r="138" spans="1:31" x14ac:dyDescent="0.25">
      <c r="A138" s="128" t="str">
        <f>A$17</f>
        <v>génisse 6mois 1 an</v>
      </c>
      <c r="B138" s="61">
        <f t="shared" si="53"/>
        <v>0</v>
      </c>
      <c r="C138" s="61">
        <f t="shared" si="53"/>
        <v>0</v>
      </c>
      <c r="D138" s="61">
        <f t="shared" si="53"/>
        <v>0</v>
      </c>
      <c r="E138" s="61">
        <f t="shared" si="53"/>
        <v>5.6839999999999988E-2</v>
      </c>
      <c r="F138" s="61">
        <f t="shared" si="53"/>
        <v>0.12585999999999997</v>
      </c>
      <c r="G138" s="61">
        <f t="shared" si="53"/>
        <v>0.31464999999999999</v>
      </c>
      <c r="H138" s="61">
        <f t="shared" si="53"/>
        <v>0.48719999999999997</v>
      </c>
      <c r="I138" s="61">
        <f t="shared" si="53"/>
        <v>0.66989999999999994</v>
      </c>
      <c r="J138" s="61">
        <f t="shared" si="53"/>
        <v>0.69222999999999979</v>
      </c>
      <c r="K138" s="61">
        <f t="shared" si="53"/>
        <v>0.69222999999999979</v>
      </c>
      <c r="L138" s="61">
        <f t="shared" si="53"/>
        <v>0.73080000000000001</v>
      </c>
      <c r="M138" s="61">
        <f t="shared" si="53"/>
        <v>0.73080000000000001</v>
      </c>
      <c r="N138" s="61">
        <f t="shared" si="53"/>
        <v>0.9817079999999998</v>
      </c>
      <c r="O138" s="61">
        <f t="shared" si="53"/>
        <v>0.9817079999999998</v>
      </c>
      <c r="P138" s="61">
        <f t="shared" si="53"/>
        <v>0.9817079999999998</v>
      </c>
      <c r="Q138" s="61">
        <f t="shared" si="53"/>
        <v>0.9817079999999998</v>
      </c>
      <c r="R138" s="61">
        <f t="shared" si="53"/>
        <v>0.66989999999999994</v>
      </c>
      <c r="S138" s="61">
        <f t="shared" si="53"/>
        <v>0.60899999999999987</v>
      </c>
      <c r="T138" s="61">
        <f t="shared" si="53"/>
        <v>0.50343999999999989</v>
      </c>
      <c r="U138" s="61">
        <f t="shared" si="53"/>
        <v>0.37757999999999992</v>
      </c>
      <c r="V138" s="61">
        <f t="shared" si="53"/>
        <v>0.1827</v>
      </c>
      <c r="W138" s="61">
        <f t="shared" si="53"/>
        <v>6.0899999999999996E-2</v>
      </c>
      <c r="X138" s="61">
        <f t="shared" si="53"/>
        <v>0</v>
      </c>
      <c r="Y138" s="61">
        <f t="shared" si="53"/>
        <v>0</v>
      </c>
      <c r="AA138" s="61">
        <f t="shared" ref="AA138:AA144" si="54">SUM(B138:Y138)</f>
        <v>10.830861999999998</v>
      </c>
    </row>
    <row r="139" spans="1:31" x14ac:dyDescent="0.25">
      <c r="A139" s="127" t="str">
        <f>A$18</f>
        <v>réforme</v>
      </c>
      <c r="B139" s="61">
        <f t="shared" si="53"/>
        <v>0</v>
      </c>
      <c r="C139" s="61">
        <f t="shared" si="53"/>
        <v>0</v>
      </c>
      <c r="D139" s="61">
        <f t="shared" si="53"/>
        <v>0</v>
      </c>
      <c r="E139" s="61">
        <f t="shared" si="53"/>
        <v>0</v>
      </c>
      <c r="F139" s="61">
        <f t="shared" si="53"/>
        <v>0</v>
      </c>
      <c r="G139" s="61">
        <f t="shared" si="53"/>
        <v>0</v>
      </c>
      <c r="H139" s="61">
        <f t="shared" si="53"/>
        <v>0</v>
      </c>
      <c r="I139" s="61">
        <f t="shared" si="53"/>
        <v>0</v>
      </c>
      <c r="J139" s="61">
        <f t="shared" si="53"/>
        <v>0</v>
      </c>
      <c r="K139" s="61">
        <f t="shared" si="53"/>
        <v>0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</v>
      </c>
      <c r="S139" s="61">
        <f t="shared" si="53"/>
        <v>0</v>
      </c>
      <c r="T139" s="61">
        <f t="shared" si="53"/>
        <v>0</v>
      </c>
      <c r="U139" s="61">
        <f t="shared" si="53"/>
        <v>0</v>
      </c>
      <c r="V139" s="61">
        <f t="shared" si="53"/>
        <v>0</v>
      </c>
      <c r="W139" s="61">
        <f t="shared" si="53"/>
        <v>0</v>
      </c>
      <c r="X139" s="61">
        <f t="shared" si="53"/>
        <v>0</v>
      </c>
      <c r="Y139" s="61">
        <f t="shared" si="53"/>
        <v>0</v>
      </c>
      <c r="AA139" s="61">
        <f t="shared" si="54"/>
        <v>0</v>
      </c>
    </row>
    <row r="140" spans="1:31" x14ac:dyDescent="0.25">
      <c r="A140" s="128" t="str">
        <f>A$19</f>
        <v>broutard</v>
      </c>
      <c r="B140" s="61">
        <f t="shared" si="53"/>
        <v>1.2554534999999998</v>
      </c>
      <c r="C140" s="61">
        <f t="shared" si="53"/>
        <v>1.2554534999999998</v>
      </c>
      <c r="D140" s="61">
        <f t="shared" si="53"/>
        <v>1.1339579999999998</v>
      </c>
      <c r="E140" s="61">
        <f t="shared" si="53"/>
        <v>1.1339579999999998</v>
      </c>
      <c r="F140" s="61">
        <f t="shared" si="53"/>
        <v>1.1893769999999997</v>
      </c>
      <c r="G140" s="61">
        <f t="shared" si="53"/>
        <v>1.1233004999999998</v>
      </c>
      <c r="H140" s="61">
        <f t="shared" si="53"/>
        <v>1.02312</v>
      </c>
      <c r="I140" s="61">
        <f t="shared" si="53"/>
        <v>0.959175</v>
      </c>
      <c r="J140" s="61">
        <f t="shared" si="53"/>
        <v>0</v>
      </c>
      <c r="K140" s="61">
        <f t="shared" si="53"/>
        <v>0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0.99114749999999996</v>
      </c>
      <c r="U140" s="61">
        <f t="shared" si="53"/>
        <v>1.0572239999999999</v>
      </c>
      <c r="V140" s="61">
        <f t="shared" si="53"/>
        <v>1.1190374999999999</v>
      </c>
      <c r="W140" s="61">
        <f t="shared" si="53"/>
        <v>1.1829824999999998</v>
      </c>
      <c r="X140" s="61">
        <f t="shared" si="53"/>
        <v>1.2554534999999998</v>
      </c>
      <c r="Y140" s="61">
        <f t="shared" si="53"/>
        <v>1.2554534999999998</v>
      </c>
      <c r="AA140" s="61">
        <f t="shared" si="54"/>
        <v>15.935093999999998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86.984368999999987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95.682805899999991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0</v>
      </c>
      <c r="G149" s="61">
        <f t="shared" si="56"/>
        <v>0</v>
      </c>
      <c r="H149" s="61">
        <f t="shared" si="56"/>
        <v>4.6381440000000005</v>
      </c>
      <c r="I149" s="61">
        <f t="shared" si="56"/>
        <v>4.3482599999999998</v>
      </c>
      <c r="J149" s="61">
        <f t="shared" si="56"/>
        <v>5.42928575</v>
      </c>
      <c r="K149" s="61">
        <f t="shared" si="56"/>
        <v>5.2420689999999999</v>
      </c>
      <c r="L149" s="61">
        <f t="shared" si="56"/>
        <v>4.8917924999999993</v>
      </c>
      <c r="M149" s="61">
        <f t="shared" si="56"/>
        <v>4.8917924999999993</v>
      </c>
      <c r="N149" s="61">
        <f t="shared" si="56"/>
        <v>5.0548522499999997</v>
      </c>
      <c r="O149" s="61">
        <f t="shared" si="56"/>
        <v>5.0548522499999997</v>
      </c>
      <c r="P149" s="61">
        <f t="shared" si="56"/>
        <v>4.8676355000000004</v>
      </c>
      <c r="Q149" s="61">
        <f t="shared" si="56"/>
        <v>4.8676355000000004</v>
      </c>
      <c r="R149" s="61">
        <f t="shared" si="56"/>
        <v>4.3926300000000005</v>
      </c>
      <c r="S149" s="61">
        <f t="shared" si="56"/>
        <v>4.55532</v>
      </c>
      <c r="T149" s="61">
        <f t="shared" si="56"/>
        <v>6.4188599999999996</v>
      </c>
      <c r="U149" s="61">
        <f t="shared" si="56"/>
        <v>6.8467839999999986</v>
      </c>
      <c r="V149" s="61">
        <f t="shared" si="56"/>
        <v>0</v>
      </c>
      <c r="W149" s="61">
        <f t="shared" si="56"/>
        <v>0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Génisses de renouvellement</v>
      </c>
      <c r="B150" s="61">
        <f t="shared" ref="B150:Y150" si="57">B111-B137</f>
        <v>2.4165119999999995</v>
      </c>
      <c r="C150" s="61">
        <f t="shared" si="57"/>
        <v>2.4165119999999995</v>
      </c>
      <c r="D150" s="61">
        <f t="shared" si="57"/>
        <v>2.1826559999999997</v>
      </c>
      <c r="E150" s="61">
        <f t="shared" si="57"/>
        <v>2.1826559999999997</v>
      </c>
      <c r="F150" s="61">
        <f t="shared" si="57"/>
        <v>3.0206399999999993</v>
      </c>
      <c r="G150" s="61">
        <f t="shared" si="57"/>
        <v>3.0206399999999993</v>
      </c>
      <c r="H150" s="61">
        <f t="shared" si="57"/>
        <v>2.9232</v>
      </c>
      <c r="I150" s="61">
        <f t="shared" si="57"/>
        <v>3.80016</v>
      </c>
      <c r="J150" s="61">
        <f t="shared" si="57"/>
        <v>3.9268319999999992</v>
      </c>
      <c r="K150" s="61">
        <f t="shared" si="57"/>
        <v>3.9268319999999992</v>
      </c>
      <c r="L150" s="61">
        <f t="shared" si="57"/>
        <v>3.80016</v>
      </c>
      <c r="M150" s="61">
        <f t="shared" si="57"/>
        <v>3.80016</v>
      </c>
      <c r="N150" s="61">
        <f t="shared" si="57"/>
        <v>3.9268319999999992</v>
      </c>
      <c r="O150" s="61">
        <f t="shared" si="57"/>
        <v>3.9268319999999992</v>
      </c>
      <c r="P150" s="61">
        <f t="shared" si="57"/>
        <v>3.9268319999999992</v>
      </c>
      <c r="Q150" s="61">
        <f t="shared" si="57"/>
        <v>3.9268319999999992</v>
      </c>
      <c r="R150" s="61">
        <f t="shared" si="57"/>
        <v>2.9232</v>
      </c>
      <c r="S150" s="61">
        <f t="shared" si="57"/>
        <v>2.9232</v>
      </c>
      <c r="T150" s="61">
        <f t="shared" si="57"/>
        <v>3.0206399999999993</v>
      </c>
      <c r="U150" s="61">
        <f t="shared" si="57"/>
        <v>3.0206399999999993</v>
      </c>
      <c r="V150" s="61">
        <f t="shared" si="57"/>
        <v>2.9232</v>
      </c>
      <c r="W150" s="61">
        <f t="shared" si="57"/>
        <v>2.9232</v>
      </c>
      <c r="X150" s="61">
        <f t="shared" si="57"/>
        <v>3.0206399999999993</v>
      </c>
      <c r="Y150" s="61">
        <f t="shared" si="57"/>
        <v>2.4165119999999995</v>
      </c>
    </row>
    <row r="151" spans="1:28" x14ac:dyDescent="0.25">
      <c r="A151" s="128" t="str">
        <f>A$17</f>
        <v>génisse 6mois 1 an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réforme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0.39735799999999993</v>
      </c>
      <c r="G152" s="61">
        <f t="shared" si="59"/>
        <v>0.79471599999999987</v>
      </c>
      <c r="H152" s="61">
        <f t="shared" si="59"/>
        <v>1.1536199999999999</v>
      </c>
      <c r="I152" s="61">
        <f t="shared" si="59"/>
        <v>1.5381599999999995</v>
      </c>
      <c r="J152" s="61">
        <f t="shared" si="59"/>
        <v>1.7881109999999996</v>
      </c>
      <c r="K152" s="61">
        <f t="shared" si="59"/>
        <v>1.9867899999999998</v>
      </c>
      <c r="L152" s="61">
        <f t="shared" si="59"/>
        <v>2.11497</v>
      </c>
      <c r="M152" s="61">
        <f t="shared" si="59"/>
        <v>2.11497</v>
      </c>
      <c r="N152" s="61">
        <f t="shared" si="59"/>
        <v>2.1854689999999999</v>
      </c>
      <c r="O152" s="61">
        <f t="shared" si="59"/>
        <v>2.1854689999999999</v>
      </c>
      <c r="P152" s="61">
        <f t="shared" si="59"/>
        <v>2.1854689999999999</v>
      </c>
      <c r="Q152" s="61">
        <f t="shared" si="59"/>
        <v>1.9867899999999998</v>
      </c>
      <c r="R152" s="61">
        <f t="shared" si="59"/>
        <v>1.7304299999999999</v>
      </c>
      <c r="S152" s="61">
        <f t="shared" si="59"/>
        <v>1.7304299999999999</v>
      </c>
      <c r="T152" s="61">
        <f t="shared" si="59"/>
        <v>1.1920739999999999</v>
      </c>
      <c r="U152" s="61">
        <f t="shared" si="59"/>
        <v>0.99339499999999992</v>
      </c>
      <c r="V152" s="61">
        <f t="shared" si="59"/>
        <v>0.57680999999999993</v>
      </c>
      <c r="W152" s="61">
        <f t="shared" si="59"/>
        <v>0.38453999999999988</v>
      </c>
      <c r="X152" s="61">
        <f t="shared" si="59"/>
        <v>0.19867899999999997</v>
      </c>
      <c r="Y152" s="61">
        <f t="shared" si="59"/>
        <v>0</v>
      </c>
    </row>
    <row r="153" spans="1:28" x14ac:dyDescent="0.25">
      <c r="A153" s="128" t="str">
        <f>A$19</f>
        <v>broutard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</v>
      </c>
      <c r="G153" s="61">
        <f t="shared" si="60"/>
        <v>0</v>
      </c>
      <c r="H153" s="61">
        <f t="shared" si="60"/>
        <v>0</v>
      </c>
      <c r="I153" s="61">
        <f t="shared" si="60"/>
        <v>0</v>
      </c>
      <c r="J153" s="61">
        <f t="shared" si="60"/>
        <v>0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175.03368325000002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0</v>
      </c>
      <c r="G162" s="61">
        <f t="shared" si="66"/>
        <v>0</v>
      </c>
      <c r="H162" s="61">
        <f t="shared" si="66"/>
        <v>4.6381440000000005</v>
      </c>
      <c r="I162" s="61">
        <f t="shared" si="66"/>
        <v>4.3482599999999998</v>
      </c>
      <c r="J162" s="61">
        <f t="shared" si="66"/>
        <v>5.42928575</v>
      </c>
      <c r="K162" s="61">
        <f t="shared" si="66"/>
        <v>5.2420689999999999</v>
      </c>
      <c r="L162" s="61">
        <f t="shared" si="66"/>
        <v>4.8917924999999993</v>
      </c>
      <c r="M162" s="61">
        <f t="shared" si="66"/>
        <v>4.8917924999999993</v>
      </c>
      <c r="N162" s="61">
        <f t="shared" si="66"/>
        <v>5.0548522499999997</v>
      </c>
      <c r="O162" s="61">
        <f t="shared" si="66"/>
        <v>5.0548522499999997</v>
      </c>
      <c r="P162" s="61">
        <f t="shared" si="66"/>
        <v>4.8676355000000004</v>
      </c>
      <c r="Q162" s="61">
        <f t="shared" si="66"/>
        <v>4.8676355000000004</v>
      </c>
      <c r="R162" s="61">
        <f t="shared" si="66"/>
        <v>4.3926300000000005</v>
      </c>
      <c r="S162" s="61">
        <f t="shared" si="66"/>
        <v>4.55532</v>
      </c>
      <c r="T162" s="61">
        <f t="shared" si="66"/>
        <v>6.4188599999999996</v>
      </c>
      <c r="U162" s="61">
        <f t="shared" si="66"/>
        <v>6.8467839999999986</v>
      </c>
      <c r="V162" s="61">
        <f t="shared" si="66"/>
        <v>0</v>
      </c>
      <c r="W162" s="61">
        <f t="shared" si="66"/>
        <v>0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Génisses de renouvellement</v>
      </c>
      <c r="B163" s="61">
        <f t="shared" ref="B163:Y163" si="67">IF(B77=1,B150,0)</f>
        <v>2.4165119999999995</v>
      </c>
      <c r="C163" s="61">
        <f t="shared" si="67"/>
        <v>2.4165119999999995</v>
      </c>
      <c r="D163" s="61">
        <f t="shared" si="67"/>
        <v>2.1826559999999997</v>
      </c>
      <c r="E163" s="61">
        <f t="shared" si="67"/>
        <v>2.1826559999999997</v>
      </c>
      <c r="F163" s="61">
        <f t="shared" si="67"/>
        <v>0</v>
      </c>
      <c r="G163" s="61">
        <f t="shared" si="67"/>
        <v>0</v>
      </c>
      <c r="H163" s="61">
        <f t="shared" si="67"/>
        <v>0</v>
      </c>
      <c r="I163" s="61">
        <f t="shared" si="67"/>
        <v>0</v>
      </c>
      <c r="J163" s="61">
        <f t="shared" si="67"/>
        <v>0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2.9232</v>
      </c>
      <c r="X163" s="61">
        <f t="shared" si="67"/>
        <v>3.0206399999999993</v>
      </c>
      <c r="Y163" s="61">
        <f t="shared" si="67"/>
        <v>2.4165119999999995</v>
      </c>
    </row>
    <row r="164" spans="1:28" x14ac:dyDescent="0.25">
      <c r="A164" s="128" t="str">
        <f>A$17</f>
        <v>génisse 6mois 1 an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réforme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0.39735799999999993</v>
      </c>
      <c r="G165" s="61">
        <f t="shared" si="69"/>
        <v>0.79471599999999987</v>
      </c>
      <c r="H165" s="61">
        <f t="shared" si="69"/>
        <v>1.1536199999999999</v>
      </c>
      <c r="I165" s="61">
        <f t="shared" si="69"/>
        <v>1.5381599999999995</v>
      </c>
      <c r="J165" s="61">
        <f t="shared" si="69"/>
        <v>1.7881109999999996</v>
      </c>
      <c r="K165" s="61">
        <f t="shared" si="69"/>
        <v>1.9867899999999998</v>
      </c>
      <c r="L165" s="61">
        <f t="shared" si="69"/>
        <v>2.11497</v>
      </c>
      <c r="M165" s="61">
        <f t="shared" si="69"/>
        <v>2.11497</v>
      </c>
      <c r="N165" s="61">
        <f t="shared" si="69"/>
        <v>2.1854689999999999</v>
      </c>
      <c r="O165" s="61">
        <f t="shared" si="69"/>
        <v>2.1854689999999999</v>
      </c>
      <c r="P165" s="61">
        <f t="shared" si="69"/>
        <v>2.1854689999999999</v>
      </c>
      <c r="Q165" s="61">
        <f t="shared" si="69"/>
        <v>1.9867899999999998</v>
      </c>
      <c r="R165" s="61">
        <f t="shared" si="69"/>
        <v>1.7304299999999999</v>
      </c>
      <c r="S165" s="61">
        <f t="shared" si="69"/>
        <v>1.7304299999999999</v>
      </c>
      <c r="T165" s="61">
        <f t="shared" si="69"/>
        <v>1.1920739999999999</v>
      </c>
      <c r="U165" s="61">
        <f t="shared" si="69"/>
        <v>0.99339499999999992</v>
      </c>
      <c r="V165" s="61">
        <f t="shared" si="69"/>
        <v>0.57680999999999993</v>
      </c>
      <c r="W165" s="61">
        <f t="shared" si="69"/>
        <v>0.38453999999999988</v>
      </c>
      <c r="X165" s="61">
        <f t="shared" si="69"/>
        <v>0.19867899999999997</v>
      </c>
      <c r="Y165" s="61">
        <f t="shared" si="69"/>
        <v>0</v>
      </c>
    </row>
    <row r="166" spans="1:28" x14ac:dyDescent="0.25">
      <c r="A166" s="128" t="str">
        <f>A$19</f>
        <v>broutard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209</v>
      </c>
      <c r="B172" s="61">
        <f>SUM(B162:B171)</f>
        <v>2.4165119999999995</v>
      </c>
      <c r="C172" s="61">
        <f t="shared" ref="C172:Y172" si="76">SUM(C162:C171)</f>
        <v>2.4165119999999995</v>
      </c>
      <c r="D172" s="61">
        <f t="shared" si="76"/>
        <v>2.1826559999999997</v>
      </c>
      <c r="E172" s="61">
        <f t="shared" si="76"/>
        <v>2.1826559999999997</v>
      </c>
      <c r="F172" s="61">
        <f t="shared" si="76"/>
        <v>0.39735799999999993</v>
      </c>
      <c r="G172" s="61">
        <f t="shared" si="76"/>
        <v>0.79471599999999987</v>
      </c>
      <c r="H172" s="61">
        <f t="shared" si="76"/>
        <v>5.7917640000000006</v>
      </c>
      <c r="I172" s="61">
        <f t="shared" si="76"/>
        <v>5.8864199999999993</v>
      </c>
      <c r="J172" s="61">
        <f t="shared" si="76"/>
        <v>7.2173967499999998</v>
      </c>
      <c r="K172" s="61">
        <f t="shared" si="76"/>
        <v>7.2288589999999999</v>
      </c>
      <c r="L172" s="61">
        <f t="shared" si="76"/>
        <v>7.0067624999999989</v>
      </c>
      <c r="M172" s="61">
        <f t="shared" si="76"/>
        <v>7.0067624999999989</v>
      </c>
      <c r="N172" s="61">
        <f t="shared" si="76"/>
        <v>7.2403212499999992</v>
      </c>
      <c r="O172" s="61">
        <f t="shared" si="76"/>
        <v>7.2403212499999992</v>
      </c>
      <c r="P172" s="61">
        <f t="shared" si="76"/>
        <v>7.0531044999999999</v>
      </c>
      <c r="Q172" s="61">
        <f t="shared" si="76"/>
        <v>6.8544255000000005</v>
      </c>
      <c r="R172" s="61">
        <f t="shared" si="76"/>
        <v>6.1230600000000006</v>
      </c>
      <c r="S172" s="61">
        <f t="shared" si="76"/>
        <v>6.2857500000000002</v>
      </c>
      <c r="T172" s="61">
        <f t="shared" si="76"/>
        <v>7.6109339999999994</v>
      </c>
      <c r="U172" s="61">
        <f t="shared" si="76"/>
        <v>7.8401789999999982</v>
      </c>
      <c r="V172" s="61">
        <f t="shared" si="76"/>
        <v>0.57680999999999993</v>
      </c>
      <c r="W172" s="61">
        <f t="shared" si="76"/>
        <v>3.3077399999999999</v>
      </c>
      <c r="X172" s="61">
        <f t="shared" si="76"/>
        <v>3.2193189999999992</v>
      </c>
      <c r="Y172" s="61">
        <f t="shared" si="76"/>
        <v>2.4165119999999995</v>
      </c>
      <c r="AA172" s="64">
        <f>SUM(B172:Y172)</f>
        <v>116.29685124999997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Génisses de renouvellement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3.0206399999999993</v>
      </c>
      <c r="G176" s="61">
        <f t="shared" si="78"/>
        <v>3.0206399999999993</v>
      </c>
      <c r="H176" s="61">
        <f t="shared" si="78"/>
        <v>2.9232</v>
      </c>
      <c r="I176" s="61">
        <f t="shared" si="78"/>
        <v>3.80016</v>
      </c>
      <c r="J176" s="61">
        <f t="shared" si="78"/>
        <v>3.9268319999999992</v>
      </c>
      <c r="K176" s="61">
        <f t="shared" si="78"/>
        <v>3.9268319999999992</v>
      </c>
      <c r="L176" s="61">
        <f t="shared" si="78"/>
        <v>3.80016</v>
      </c>
      <c r="M176" s="61">
        <f t="shared" si="78"/>
        <v>3.80016</v>
      </c>
      <c r="N176" s="61">
        <f t="shared" si="78"/>
        <v>3.9268319999999992</v>
      </c>
      <c r="O176" s="61">
        <f t="shared" si="78"/>
        <v>3.9268319999999992</v>
      </c>
      <c r="P176" s="61">
        <f t="shared" si="78"/>
        <v>3.9268319999999992</v>
      </c>
      <c r="Q176" s="61">
        <f t="shared" si="78"/>
        <v>3.9268319999999992</v>
      </c>
      <c r="R176" s="61">
        <f t="shared" si="78"/>
        <v>2.9232</v>
      </c>
      <c r="S176" s="61">
        <f t="shared" si="78"/>
        <v>2.9232</v>
      </c>
      <c r="T176" s="61">
        <f t="shared" si="78"/>
        <v>3.0206399999999993</v>
      </c>
      <c r="U176" s="61">
        <f t="shared" si="78"/>
        <v>3.0206399999999993</v>
      </c>
      <c r="V176" s="61">
        <f t="shared" si="78"/>
        <v>2.9232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génisse 6mois 1 an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réforme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</v>
      </c>
      <c r="V178" s="61">
        <f t="shared" si="80"/>
        <v>0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broutard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3.0206399999999993</v>
      </c>
      <c r="G185" s="61">
        <f>SUM(CdTrp1!G175:G184)</f>
        <v>3.0206399999999993</v>
      </c>
      <c r="H185" s="61">
        <f>SUM(CdTrp1!H175:H184)</f>
        <v>2.9232</v>
      </c>
      <c r="I185" s="61">
        <f>SUM(CdTrp1!I175:I184)</f>
        <v>3.80016</v>
      </c>
      <c r="J185" s="61">
        <f>SUM(CdTrp1!J175:J184)</f>
        <v>3.9268319999999992</v>
      </c>
      <c r="K185" s="61">
        <f>SUM(CdTrp1!K175:K184)</f>
        <v>3.9268319999999992</v>
      </c>
      <c r="L185" s="61">
        <f>SUM(CdTrp1!L175:L184)</f>
        <v>3.80016</v>
      </c>
      <c r="M185" s="61">
        <f>SUM(CdTrp1!M175:M184)</f>
        <v>3.80016</v>
      </c>
      <c r="N185" s="61">
        <f>SUM(CdTrp1!N175:N184)</f>
        <v>3.9268319999999992</v>
      </c>
      <c r="O185" s="61">
        <f>SUM(CdTrp1!O175:O184)</f>
        <v>3.9268319999999992</v>
      </c>
      <c r="P185" s="61">
        <f>SUM(CdTrp1!P175:P184)</f>
        <v>3.9268319999999992</v>
      </c>
      <c r="Q185" s="61">
        <f>SUM(CdTrp1!Q175:Q184)</f>
        <v>3.9268319999999992</v>
      </c>
      <c r="R185" s="61">
        <f>SUM(CdTrp1!R175:R184)</f>
        <v>2.9232</v>
      </c>
      <c r="S185" s="61">
        <f>SUM(CdTrp1!S175:S184)</f>
        <v>2.9232</v>
      </c>
      <c r="T185" s="61">
        <f>SUM(CdTrp1!T175:T184)</f>
        <v>3.0206399999999993</v>
      </c>
      <c r="U185" s="61">
        <f>SUM(CdTrp1!U175:U184)</f>
        <v>3.0206399999999993</v>
      </c>
      <c r="V185" s="61">
        <f>SUM(CdTrp1!V175:V184)</f>
        <v>2.9232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58.736831999999985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Génisses de renouvellement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génisse 6mois 1 an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réforme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broutard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0</v>
      </c>
      <c r="N201" s="61">
        <f t="shared" si="98"/>
        <v>0</v>
      </c>
      <c r="O201" s="61">
        <f t="shared" si="98"/>
        <v>0</v>
      </c>
      <c r="P201" s="61">
        <f t="shared" si="98"/>
        <v>0</v>
      </c>
      <c r="Q201" s="61">
        <f t="shared" si="98"/>
        <v>0</v>
      </c>
      <c r="R201" s="61">
        <f t="shared" si="98"/>
        <v>0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Génisses de renouvellement</v>
      </c>
      <c r="B202" s="61">
        <f t="shared" ref="B202:Q210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 6mois 1 an</v>
      </c>
      <c r="B203" s="61">
        <f t="shared" si="99"/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</v>
      </c>
      <c r="N203" s="61">
        <f t="shared" si="98"/>
        <v>0</v>
      </c>
      <c r="O203" s="61">
        <f t="shared" si="98"/>
        <v>0</v>
      </c>
      <c r="P203" s="61">
        <f t="shared" si="98"/>
        <v>0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réforme</v>
      </c>
      <c r="B204" s="61">
        <f t="shared" si="99"/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broutard</v>
      </c>
      <c r="B205" s="61">
        <f t="shared" si="99"/>
        <v>0</v>
      </c>
      <c r="C205" s="61">
        <f t="shared" si="98"/>
        <v>0</v>
      </c>
      <c r="D205" s="61">
        <f t="shared" si="98"/>
        <v>0</v>
      </c>
      <c r="E205" s="61">
        <f t="shared" si="98"/>
        <v>0</v>
      </c>
      <c r="F205" s="61">
        <f t="shared" si="98"/>
        <v>0</v>
      </c>
      <c r="G205" s="61">
        <f t="shared" si="98"/>
        <v>0</v>
      </c>
      <c r="H205" s="61">
        <f t="shared" si="98"/>
        <v>0</v>
      </c>
      <c r="I205" s="61">
        <f t="shared" si="98"/>
        <v>0</v>
      </c>
      <c r="J205" s="61">
        <f t="shared" si="98"/>
        <v>0</v>
      </c>
      <c r="K205" s="61">
        <f t="shared" si="98"/>
        <v>0</v>
      </c>
      <c r="L205" s="61">
        <f t="shared" si="98"/>
        <v>0</v>
      </c>
      <c r="M205" s="61">
        <f t="shared" si="98"/>
        <v>0</v>
      </c>
      <c r="N205" s="61">
        <f t="shared" si="98"/>
        <v>0</v>
      </c>
      <c r="O205" s="61">
        <f t="shared" si="98"/>
        <v>0</v>
      </c>
      <c r="P205" s="61">
        <f t="shared" si="98"/>
        <v>0</v>
      </c>
      <c r="Q205" s="61">
        <f t="shared" si="98"/>
        <v>0</v>
      </c>
      <c r="R205" s="61">
        <f t="shared" si="98"/>
        <v>0</v>
      </c>
      <c r="S205" s="61">
        <f t="shared" si="98"/>
        <v>0</v>
      </c>
      <c r="T205" s="61">
        <f t="shared" si="98"/>
        <v>0</v>
      </c>
      <c r="U205" s="61">
        <f t="shared" si="98"/>
        <v>0</v>
      </c>
      <c r="V205" s="61">
        <f t="shared" si="98"/>
        <v>0</v>
      </c>
      <c r="W205" s="61">
        <f t="shared" si="98"/>
        <v>0</v>
      </c>
      <c r="X205" s="61">
        <f t="shared" si="98"/>
        <v>0</v>
      </c>
      <c r="Y205" s="61">
        <f t="shared" si="98"/>
        <v>0</v>
      </c>
    </row>
    <row r="206" spans="1:28" x14ac:dyDescent="0.25">
      <c r="A206" s="128" t="str">
        <f>A$20</f>
        <v>lot6</v>
      </c>
      <c r="B206" s="61">
        <f t="shared" si="99"/>
        <v>0</v>
      </c>
      <c r="C206" s="61">
        <f t="shared" si="98"/>
        <v>0</v>
      </c>
      <c r="D206" s="61">
        <f t="shared" si="98"/>
        <v>0</v>
      </c>
      <c r="E206" s="61">
        <f t="shared" si="98"/>
        <v>0</v>
      </c>
      <c r="F206" s="61">
        <f t="shared" si="98"/>
        <v>0</v>
      </c>
      <c r="G206" s="61">
        <f t="shared" si="98"/>
        <v>0</v>
      </c>
      <c r="H206" s="61">
        <f t="shared" si="98"/>
        <v>0</v>
      </c>
      <c r="I206" s="61">
        <f t="shared" si="98"/>
        <v>0</v>
      </c>
      <c r="J206" s="61">
        <f t="shared" si="98"/>
        <v>0</v>
      </c>
      <c r="K206" s="61">
        <f t="shared" si="98"/>
        <v>0</v>
      </c>
      <c r="L206" s="61">
        <f t="shared" si="98"/>
        <v>0</v>
      </c>
      <c r="M206" s="61">
        <f t="shared" si="98"/>
        <v>0</v>
      </c>
      <c r="N206" s="61">
        <f t="shared" si="98"/>
        <v>0</v>
      </c>
      <c r="O206" s="61">
        <f t="shared" si="98"/>
        <v>0</v>
      </c>
      <c r="P206" s="61">
        <f t="shared" si="98"/>
        <v>0</v>
      </c>
      <c r="Q206" s="61">
        <f t="shared" si="98"/>
        <v>0</v>
      </c>
      <c r="R206" s="61">
        <f t="shared" si="98"/>
        <v>0</v>
      </c>
      <c r="S206" s="61">
        <f t="shared" si="98"/>
        <v>0</v>
      </c>
      <c r="T206" s="61">
        <f t="shared" si="98"/>
        <v>0</v>
      </c>
      <c r="U206" s="61">
        <f t="shared" si="98"/>
        <v>0</v>
      </c>
      <c r="V206" s="61">
        <f t="shared" si="98"/>
        <v>0</v>
      </c>
      <c r="W206" s="61">
        <f t="shared" si="98"/>
        <v>0</v>
      </c>
      <c r="X206" s="61">
        <f t="shared" si="98"/>
        <v>0</v>
      </c>
      <c r="Y206" s="61">
        <f t="shared" si="98"/>
        <v>0</v>
      </c>
    </row>
    <row r="207" spans="1:28" x14ac:dyDescent="0.25">
      <c r="A207" s="127" t="str">
        <f>A$21</f>
        <v>lot7</v>
      </c>
      <c r="B207" s="61">
        <f t="shared" si="99"/>
        <v>0</v>
      </c>
      <c r="C207" s="61">
        <f t="shared" si="98"/>
        <v>0</v>
      </c>
      <c r="D207" s="61">
        <f t="shared" si="98"/>
        <v>0</v>
      </c>
      <c r="E207" s="61">
        <f t="shared" si="98"/>
        <v>0</v>
      </c>
      <c r="F207" s="61">
        <f t="shared" si="98"/>
        <v>0</v>
      </c>
      <c r="G207" s="61">
        <f t="shared" si="98"/>
        <v>0</v>
      </c>
      <c r="H207" s="61">
        <f t="shared" si="98"/>
        <v>0</v>
      </c>
      <c r="I207" s="61">
        <f t="shared" si="98"/>
        <v>0</v>
      </c>
      <c r="J207" s="61">
        <f t="shared" si="98"/>
        <v>0</v>
      </c>
      <c r="K207" s="61">
        <f t="shared" si="98"/>
        <v>0</v>
      </c>
      <c r="L207" s="61">
        <f t="shared" si="98"/>
        <v>0</v>
      </c>
      <c r="M207" s="61">
        <f t="shared" si="98"/>
        <v>0</v>
      </c>
      <c r="N207" s="61">
        <f t="shared" si="98"/>
        <v>0</v>
      </c>
      <c r="O207" s="61">
        <f t="shared" si="98"/>
        <v>0</v>
      </c>
      <c r="P207" s="61">
        <f t="shared" si="98"/>
        <v>0</v>
      </c>
      <c r="Q207" s="61">
        <f t="shared" si="98"/>
        <v>0</v>
      </c>
      <c r="R207" s="61">
        <f t="shared" si="98"/>
        <v>0</v>
      </c>
      <c r="S207" s="61">
        <f t="shared" si="98"/>
        <v>0</v>
      </c>
      <c r="T207" s="61">
        <f t="shared" si="98"/>
        <v>0</v>
      </c>
      <c r="U207" s="61">
        <f t="shared" si="98"/>
        <v>0</v>
      </c>
      <c r="V207" s="61">
        <f t="shared" si="98"/>
        <v>0</v>
      </c>
      <c r="W207" s="61">
        <f t="shared" si="98"/>
        <v>0</v>
      </c>
      <c r="X207" s="61">
        <f t="shared" si="98"/>
        <v>0</v>
      </c>
      <c r="Y207" s="61">
        <f t="shared" si="98"/>
        <v>0</v>
      </c>
    </row>
    <row r="208" spans="1:28" x14ac:dyDescent="0.25">
      <c r="A208" s="128" t="str">
        <f>A$22</f>
        <v>lot8</v>
      </c>
      <c r="B208" s="61">
        <f t="shared" si="99"/>
        <v>0</v>
      </c>
      <c r="C208" s="61">
        <f t="shared" si="98"/>
        <v>0</v>
      </c>
      <c r="D208" s="61">
        <f t="shared" si="98"/>
        <v>0</v>
      </c>
      <c r="E208" s="61">
        <f t="shared" si="98"/>
        <v>0</v>
      </c>
      <c r="F208" s="61">
        <f t="shared" si="98"/>
        <v>0</v>
      </c>
      <c r="G208" s="61">
        <f t="shared" si="98"/>
        <v>0</v>
      </c>
      <c r="H208" s="61">
        <f t="shared" si="98"/>
        <v>0</v>
      </c>
      <c r="I208" s="61">
        <f t="shared" si="98"/>
        <v>0</v>
      </c>
      <c r="J208" s="61">
        <f t="shared" si="98"/>
        <v>0</v>
      </c>
      <c r="K208" s="61">
        <f t="shared" si="98"/>
        <v>0</v>
      </c>
      <c r="L208" s="61">
        <f t="shared" si="98"/>
        <v>0</v>
      </c>
      <c r="M208" s="61">
        <f t="shared" si="98"/>
        <v>0</v>
      </c>
      <c r="N208" s="61">
        <f t="shared" si="98"/>
        <v>0</v>
      </c>
      <c r="O208" s="61">
        <f t="shared" si="98"/>
        <v>0</v>
      </c>
      <c r="P208" s="61">
        <f t="shared" si="98"/>
        <v>0</v>
      </c>
      <c r="Q208" s="61">
        <f t="shared" si="98"/>
        <v>0</v>
      </c>
      <c r="R208" s="61">
        <f t="shared" si="98"/>
        <v>0</v>
      </c>
      <c r="S208" s="61">
        <f t="shared" si="98"/>
        <v>0</v>
      </c>
      <c r="T208" s="61">
        <f t="shared" si="98"/>
        <v>0</v>
      </c>
      <c r="U208" s="61">
        <f t="shared" si="98"/>
        <v>0</v>
      </c>
      <c r="V208" s="61">
        <f t="shared" si="98"/>
        <v>0</v>
      </c>
      <c r="W208" s="61">
        <f t="shared" si="98"/>
        <v>0</v>
      </c>
      <c r="X208" s="61">
        <f t="shared" si="98"/>
        <v>0</v>
      </c>
      <c r="Y208" s="61">
        <f t="shared" si="98"/>
        <v>0</v>
      </c>
    </row>
    <row r="209" spans="1:28" x14ac:dyDescent="0.25">
      <c r="A209" s="128" t="str">
        <f>A$23</f>
        <v>lot9</v>
      </c>
      <c r="B209" s="61">
        <f t="shared" si="99"/>
        <v>0</v>
      </c>
      <c r="C209" s="61">
        <f t="shared" si="98"/>
        <v>0</v>
      </c>
      <c r="D209" s="61">
        <f t="shared" si="98"/>
        <v>0</v>
      </c>
      <c r="E209" s="61">
        <f t="shared" si="98"/>
        <v>0</v>
      </c>
      <c r="F209" s="61">
        <f t="shared" si="98"/>
        <v>0</v>
      </c>
      <c r="G209" s="61">
        <f t="shared" si="98"/>
        <v>0</v>
      </c>
      <c r="H209" s="61">
        <f t="shared" si="98"/>
        <v>0</v>
      </c>
      <c r="I209" s="61">
        <f t="shared" si="98"/>
        <v>0</v>
      </c>
      <c r="J209" s="61">
        <f t="shared" si="98"/>
        <v>0</v>
      </c>
      <c r="K209" s="61">
        <f t="shared" si="98"/>
        <v>0</v>
      </c>
      <c r="L209" s="61">
        <f t="shared" si="98"/>
        <v>0</v>
      </c>
      <c r="M209" s="61">
        <f t="shared" si="98"/>
        <v>0</v>
      </c>
      <c r="N209" s="61">
        <f t="shared" si="98"/>
        <v>0</v>
      </c>
      <c r="O209" s="61">
        <f t="shared" si="98"/>
        <v>0</v>
      </c>
      <c r="P209" s="61">
        <f t="shared" si="98"/>
        <v>0</v>
      </c>
      <c r="Q209" s="61">
        <f t="shared" si="98"/>
        <v>0</v>
      </c>
      <c r="R209" s="61">
        <f t="shared" si="98"/>
        <v>0</v>
      </c>
      <c r="S209" s="61">
        <f t="shared" si="98"/>
        <v>0</v>
      </c>
      <c r="T209" s="61">
        <f t="shared" si="98"/>
        <v>0</v>
      </c>
      <c r="U209" s="61">
        <f t="shared" si="98"/>
        <v>0</v>
      </c>
      <c r="V209" s="61">
        <f t="shared" si="98"/>
        <v>0</v>
      </c>
      <c r="W209" s="61">
        <f t="shared" si="98"/>
        <v>0</v>
      </c>
      <c r="X209" s="61">
        <f t="shared" si="98"/>
        <v>0</v>
      </c>
      <c r="Y209" s="61">
        <f t="shared" si="98"/>
        <v>0</v>
      </c>
    </row>
    <row r="210" spans="1:28" x14ac:dyDescent="0.25">
      <c r="A210" s="128" t="str">
        <f>A$24</f>
        <v>lot10</v>
      </c>
      <c r="B210" s="61">
        <f t="shared" si="99"/>
        <v>0</v>
      </c>
      <c r="C210" s="61">
        <f t="shared" si="98"/>
        <v>0</v>
      </c>
      <c r="D210" s="61">
        <f t="shared" si="98"/>
        <v>0</v>
      </c>
      <c r="E210" s="61">
        <f t="shared" si="98"/>
        <v>0</v>
      </c>
      <c r="F210" s="61">
        <f t="shared" si="98"/>
        <v>0</v>
      </c>
      <c r="G210" s="61">
        <f t="shared" si="98"/>
        <v>0</v>
      </c>
      <c r="H210" s="61">
        <f t="shared" si="98"/>
        <v>0</v>
      </c>
      <c r="I210" s="61">
        <f t="shared" si="98"/>
        <v>0</v>
      </c>
      <c r="J210" s="61">
        <f t="shared" si="98"/>
        <v>0</v>
      </c>
      <c r="K210" s="61">
        <f t="shared" si="98"/>
        <v>0</v>
      </c>
      <c r="L210" s="61">
        <f t="shared" si="98"/>
        <v>0</v>
      </c>
      <c r="M210" s="61">
        <f t="shared" si="98"/>
        <v>0</v>
      </c>
      <c r="N210" s="61">
        <f t="shared" si="98"/>
        <v>0</v>
      </c>
      <c r="O210" s="61">
        <f t="shared" si="98"/>
        <v>0</v>
      </c>
      <c r="P210" s="61">
        <f t="shared" si="98"/>
        <v>0</v>
      </c>
      <c r="Q210" s="61">
        <f t="shared" si="98"/>
        <v>0</v>
      </c>
      <c r="R210" s="61">
        <f t="shared" si="98"/>
        <v>0</v>
      </c>
      <c r="S210" s="61">
        <f t="shared" si="98"/>
        <v>0</v>
      </c>
      <c r="T210" s="61">
        <f t="shared" si="98"/>
        <v>0</v>
      </c>
      <c r="U210" s="61">
        <f t="shared" si="98"/>
        <v>0</v>
      </c>
      <c r="V210" s="61">
        <f t="shared" si="98"/>
        <v>0</v>
      </c>
      <c r="W210" s="61">
        <f t="shared" si="98"/>
        <v>0</v>
      </c>
      <c r="X210" s="61">
        <f t="shared" si="98"/>
        <v>0</v>
      </c>
      <c r="Y210" s="61">
        <f t="shared" si="9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0">SUM(C201:C210)</f>
        <v>0</v>
      </c>
      <c r="D211" s="61">
        <f t="shared" si="100"/>
        <v>0</v>
      </c>
      <c r="E211" s="61">
        <f t="shared" si="100"/>
        <v>0</v>
      </c>
      <c r="F211" s="61">
        <f t="shared" si="100"/>
        <v>0</v>
      </c>
      <c r="G211" s="61">
        <f t="shared" si="100"/>
        <v>0</v>
      </c>
      <c r="H211" s="61">
        <f t="shared" si="100"/>
        <v>0</v>
      </c>
      <c r="I211" s="61">
        <f t="shared" si="100"/>
        <v>0</v>
      </c>
      <c r="J211" s="61">
        <f t="shared" si="100"/>
        <v>0</v>
      </c>
      <c r="K211" s="61">
        <f t="shared" si="100"/>
        <v>0</v>
      </c>
      <c r="L211" s="61">
        <f t="shared" si="100"/>
        <v>0</v>
      </c>
      <c r="M211" s="61">
        <f t="shared" si="100"/>
        <v>0</v>
      </c>
      <c r="N211" s="61">
        <f t="shared" si="100"/>
        <v>0</v>
      </c>
      <c r="O211" s="61">
        <f t="shared" si="100"/>
        <v>0</v>
      </c>
      <c r="P211" s="61">
        <f t="shared" si="100"/>
        <v>0</v>
      </c>
      <c r="Q211" s="61">
        <f t="shared" si="100"/>
        <v>0</v>
      </c>
      <c r="R211" s="61">
        <f t="shared" si="100"/>
        <v>0</v>
      </c>
      <c r="S211" s="61">
        <f t="shared" si="100"/>
        <v>0</v>
      </c>
      <c r="T211" s="61">
        <f t="shared" si="100"/>
        <v>0</v>
      </c>
      <c r="U211" s="61">
        <f t="shared" si="100"/>
        <v>0</v>
      </c>
      <c r="V211" s="61">
        <f t="shared" si="100"/>
        <v>0</v>
      </c>
      <c r="W211" s="61">
        <f t="shared" si="100"/>
        <v>0</v>
      </c>
      <c r="X211" s="61">
        <f t="shared" si="100"/>
        <v>0</v>
      </c>
      <c r="Y211" s="61">
        <f t="shared" si="100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2.4165119999999995</v>
      </c>
      <c r="C215" s="61">
        <f t="shared" ref="C215:Y215" si="101">C172</f>
        <v>2.4165119999999995</v>
      </c>
      <c r="D215" s="61">
        <f t="shared" si="101"/>
        <v>2.1826559999999997</v>
      </c>
      <c r="E215" s="61">
        <f t="shared" si="101"/>
        <v>2.1826559999999997</v>
      </c>
      <c r="F215" s="61">
        <f t="shared" si="101"/>
        <v>0.39735799999999993</v>
      </c>
      <c r="G215" s="61">
        <f t="shared" si="101"/>
        <v>0.79471599999999987</v>
      </c>
      <c r="H215" s="61">
        <f t="shared" si="101"/>
        <v>5.7917640000000006</v>
      </c>
      <c r="I215" s="61">
        <f t="shared" si="101"/>
        <v>5.8864199999999993</v>
      </c>
      <c r="J215" s="61">
        <f t="shared" si="101"/>
        <v>7.2173967499999998</v>
      </c>
      <c r="K215" s="61">
        <f t="shared" si="101"/>
        <v>7.2288589999999999</v>
      </c>
      <c r="L215" s="61">
        <f t="shared" si="101"/>
        <v>7.0067624999999989</v>
      </c>
      <c r="M215" s="61">
        <f t="shared" si="101"/>
        <v>7.0067624999999989</v>
      </c>
      <c r="N215" s="61">
        <f t="shared" si="101"/>
        <v>7.2403212499999992</v>
      </c>
      <c r="O215" s="61">
        <f t="shared" si="101"/>
        <v>7.2403212499999992</v>
      </c>
      <c r="P215" s="61">
        <f t="shared" si="101"/>
        <v>7.0531044999999999</v>
      </c>
      <c r="Q215" s="61">
        <f t="shared" si="101"/>
        <v>6.8544255000000005</v>
      </c>
      <c r="R215" s="61">
        <f t="shared" si="101"/>
        <v>6.1230600000000006</v>
      </c>
      <c r="S215" s="61">
        <f t="shared" si="101"/>
        <v>6.2857500000000002</v>
      </c>
      <c r="T215" s="61">
        <f t="shared" si="101"/>
        <v>7.6109339999999994</v>
      </c>
      <c r="U215" s="61">
        <f t="shared" si="101"/>
        <v>7.8401789999999982</v>
      </c>
      <c r="V215" s="61">
        <f t="shared" si="101"/>
        <v>0.57680999999999993</v>
      </c>
      <c r="W215" s="61">
        <f t="shared" si="101"/>
        <v>3.3077399999999999</v>
      </c>
      <c r="X215" s="61">
        <f t="shared" si="101"/>
        <v>3.2193189999999992</v>
      </c>
      <c r="Y215" s="61">
        <f t="shared" si="101"/>
        <v>2.4165119999999995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2">C185</f>
        <v>0</v>
      </c>
      <c r="D216" s="61">
        <f t="shared" si="102"/>
        <v>0</v>
      </c>
      <c r="E216" s="61">
        <f t="shared" si="102"/>
        <v>0</v>
      </c>
      <c r="F216" s="61">
        <f t="shared" si="102"/>
        <v>3.0206399999999993</v>
      </c>
      <c r="G216" s="61">
        <f t="shared" si="102"/>
        <v>3.0206399999999993</v>
      </c>
      <c r="H216" s="61">
        <f t="shared" si="102"/>
        <v>2.9232</v>
      </c>
      <c r="I216" s="61">
        <f t="shared" si="102"/>
        <v>3.80016</v>
      </c>
      <c r="J216" s="61">
        <f t="shared" si="102"/>
        <v>3.9268319999999992</v>
      </c>
      <c r="K216" s="61">
        <f t="shared" si="102"/>
        <v>3.9268319999999992</v>
      </c>
      <c r="L216" s="61">
        <f t="shared" si="102"/>
        <v>3.80016</v>
      </c>
      <c r="M216" s="61">
        <f t="shared" si="102"/>
        <v>3.80016</v>
      </c>
      <c r="N216" s="61">
        <f t="shared" si="102"/>
        <v>3.9268319999999992</v>
      </c>
      <c r="O216" s="61">
        <f t="shared" si="102"/>
        <v>3.9268319999999992</v>
      </c>
      <c r="P216" s="61">
        <f t="shared" si="102"/>
        <v>3.9268319999999992</v>
      </c>
      <c r="Q216" s="61">
        <f t="shared" si="102"/>
        <v>3.9268319999999992</v>
      </c>
      <c r="R216" s="61">
        <f t="shared" si="102"/>
        <v>2.9232</v>
      </c>
      <c r="S216" s="61">
        <f t="shared" si="102"/>
        <v>2.9232</v>
      </c>
      <c r="T216" s="61">
        <f t="shared" si="102"/>
        <v>3.0206399999999993</v>
      </c>
      <c r="U216" s="61">
        <f t="shared" si="102"/>
        <v>3.0206399999999993</v>
      </c>
      <c r="V216" s="61">
        <f t="shared" si="102"/>
        <v>2.9232</v>
      </c>
      <c r="W216" s="61">
        <f t="shared" si="102"/>
        <v>0</v>
      </c>
      <c r="X216" s="61">
        <f t="shared" si="102"/>
        <v>0</v>
      </c>
      <c r="Y216" s="61">
        <f t="shared" si="102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3">C198</f>
        <v>0</v>
      </c>
      <c r="D217" s="61">
        <f t="shared" si="103"/>
        <v>0</v>
      </c>
      <c r="E217" s="61">
        <f t="shared" si="103"/>
        <v>0</v>
      </c>
      <c r="F217" s="61">
        <f t="shared" si="103"/>
        <v>0</v>
      </c>
      <c r="G217" s="61">
        <f t="shared" si="103"/>
        <v>0</v>
      </c>
      <c r="H217" s="61">
        <f t="shared" si="103"/>
        <v>0</v>
      </c>
      <c r="I217" s="61">
        <f t="shared" si="103"/>
        <v>0</v>
      </c>
      <c r="J217" s="61">
        <f t="shared" si="103"/>
        <v>0</v>
      </c>
      <c r="K217" s="61">
        <f t="shared" si="103"/>
        <v>0</v>
      </c>
      <c r="L217" s="61">
        <f t="shared" si="103"/>
        <v>0</v>
      </c>
      <c r="M217" s="61">
        <f t="shared" si="103"/>
        <v>0</v>
      </c>
      <c r="N217" s="61">
        <f t="shared" si="103"/>
        <v>0</v>
      </c>
      <c r="O217" s="61">
        <f t="shared" si="103"/>
        <v>0</v>
      </c>
      <c r="P217" s="61">
        <f t="shared" si="103"/>
        <v>0</v>
      </c>
      <c r="Q217" s="61">
        <f t="shared" si="103"/>
        <v>0</v>
      </c>
      <c r="R217" s="61">
        <f t="shared" si="103"/>
        <v>0</v>
      </c>
      <c r="S217" s="61">
        <f t="shared" si="103"/>
        <v>0</v>
      </c>
      <c r="T217" s="61">
        <f t="shared" si="103"/>
        <v>0</v>
      </c>
      <c r="U217" s="61">
        <f t="shared" si="103"/>
        <v>0</v>
      </c>
      <c r="V217" s="61">
        <f t="shared" si="103"/>
        <v>0</v>
      </c>
      <c r="W217" s="61">
        <f t="shared" si="103"/>
        <v>0</v>
      </c>
      <c r="X217" s="61">
        <f t="shared" si="103"/>
        <v>0</v>
      </c>
      <c r="Y217" s="61">
        <f t="shared" si="103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4">C211</f>
        <v>0</v>
      </c>
      <c r="D218" s="61">
        <f t="shared" si="104"/>
        <v>0</v>
      </c>
      <c r="E218" s="61">
        <f t="shared" si="104"/>
        <v>0</v>
      </c>
      <c r="F218" s="61">
        <f t="shared" si="104"/>
        <v>0</v>
      </c>
      <c r="G218" s="61">
        <f t="shared" si="104"/>
        <v>0</v>
      </c>
      <c r="H218" s="61">
        <f t="shared" si="104"/>
        <v>0</v>
      </c>
      <c r="I218" s="61">
        <f t="shared" si="104"/>
        <v>0</v>
      </c>
      <c r="J218" s="61">
        <f t="shared" si="104"/>
        <v>0</v>
      </c>
      <c r="K218" s="61">
        <f t="shared" si="104"/>
        <v>0</v>
      </c>
      <c r="L218" s="61">
        <f t="shared" si="104"/>
        <v>0</v>
      </c>
      <c r="M218" s="61">
        <f t="shared" si="104"/>
        <v>0</v>
      </c>
      <c r="N218" s="61">
        <f t="shared" si="104"/>
        <v>0</v>
      </c>
      <c r="O218" s="61">
        <f t="shared" si="104"/>
        <v>0</v>
      </c>
      <c r="P218" s="61">
        <f t="shared" si="104"/>
        <v>0</v>
      </c>
      <c r="Q218" s="61">
        <f t="shared" si="104"/>
        <v>0</v>
      </c>
      <c r="R218" s="61">
        <f t="shared" si="104"/>
        <v>0</v>
      </c>
      <c r="S218" s="61">
        <f t="shared" si="104"/>
        <v>0</v>
      </c>
      <c r="T218" s="61">
        <f t="shared" si="104"/>
        <v>0</v>
      </c>
      <c r="U218" s="61">
        <f t="shared" si="104"/>
        <v>0</v>
      </c>
      <c r="V218" s="61">
        <f t="shared" si="104"/>
        <v>0</v>
      </c>
      <c r="W218" s="61">
        <f t="shared" si="104"/>
        <v>0</v>
      </c>
      <c r="X218" s="61">
        <f t="shared" si="104"/>
        <v>0</v>
      </c>
      <c r="Y218" s="61">
        <f t="shared" si="104"/>
        <v>0</v>
      </c>
    </row>
    <row r="219" spans="1:28" x14ac:dyDescent="0.25">
      <c r="AA219" s="30">
        <f>SUM(B215:Y218)</f>
        <v>175.03368324999991</v>
      </c>
      <c r="AB219" t="s">
        <v>221</v>
      </c>
    </row>
    <row r="220" spans="1:28" x14ac:dyDescent="0.25">
      <c r="AA220" s="30">
        <f>SUM(B215:Y217)</f>
        <v>175.03368324999991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tabSelected="1"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71.918823529411782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95.682805899999991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2.4165119999999995</v>
      </c>
      <c r="H5" s="143">
        <f>CdTrp1!C215+CdTrp2!C215+CdTrp3!C215+CdTrp4!C215</f>
        <v>2.4165119999999995</v>
      </c>
      <c r="I5" s="143">
        <f>CdTrp1!D215+CdTrp2!D215+CdTrp3!D215+CdTrp4!D215</f>
        <v>2.1826559999999997</v>
      </c>
      <c r="J5" s="143">
        <f>CdTrp1!E215+CdTrp2!E215+CdTrp3!E215+CdTrp4!E215</f>
        <v>2.1826559999999997</v>
      </c>
      <c r="K5" s="143">
        <f>CdTrp1!F215+CdTrp2!F215+CdTrp3!F215+CdTrp4!F215</f>
        <v>0.39735799999999993</v>
      </c>
      <c r="L5" s="143">
        <f>CdTrp1!G215+CdTrp2!G215+CdTrp3!G215+CdTrp4!G215</f>
        <v>0.79471599999999987</v>
      </c>
      <c r="M5" s="143">
        <f>CdTrp1!H215+CdTrp2!H215+CdTrp3!H215+CdTrp4!H215</f>
        <v>5.7917640000000006</v>
      </c>
      <c r="N5" s="143">
        <f>CdTrp1!I215+CdTrp2!I215+CdTrp3!I215+CdTrp4!I215</f>
        <v>5.8864199999999993</v>
      </c>
      <c r="O5" s="143">
        <f>CdTrp1!J215+CdTrp2!J215+CdTrp3!J215+CdTrp4!J215</f>
        <v>7.2173967499999998</v>
      </c>
      <c r="P5" s="143">
        <f>CdTrp1!K215+CdTrp2!K215+CdTrp3!K215+CdTrp4!K215</f>
        <v>7.2288589999999999</v>
      </c>
      <c r="Q5" s="143">
        <f>CdTrp1!L215+CdTrp2!L215+CdTrp3!L215+CdTrp4!L215</f>
        <v>7.0067624999999989</v>
      </c>
      <c r="R5" s="143">
        <f>CdTrp1!M215+CdTrp2!M215+CdTrp3!M215+CdTrp4!M215</f>
        <v>7.0067624999999989</v>
      </c>
      <c r="S5" s="143">
        <f>CdTrp1!N215+CdTrp2!N215+CdTrp3!N215+CdTrp4!N215</f>
        <v>7.2403212499999992</v>
      </c>
      <c r="T5" s="143">
        <f>CdTrp1!O215+CdTrp2!O215+CdTrp3!O215+CdTrp4!O215</f>
        <v>7.2403212499999992</v>
      </c>
      <c r="U5" s="143">
        <f>CdTrp1!P215+CdTrp2!P215+CdTrp3!P215+CdTrp4!P215</f>
        <v>7.0531044999999999</v>
      </c>
      <c r="V5" s="143">
        <f>CdTrp1!Q215+CdTrp2!Q215+CdTrp3!Q215+CdTrp4!Q215</f>
        <v>6.8544255000000005</v>
      </c>
      <c r="W5" s="143">
        <f>CdTrp1!R215+CdTrp2!R215+CdTrp3!R215+CdTrp4!R215</f>
        <v>6.1230600000000006</v>
      </c>
      <c r="X5" s="143">
        <f>CdTrp1!S215+CdTrp2!S215+CdTrp3!S215+CdTrp4!S215</f>
        <v>6.2857500000000002</v>
      </c>
      <c r="Y5" s="143">
        <f>CdTrp1!T215+CdTrp2!T215+CdTrp3!T215+CdTrp4!T215</f>
        <v>7.6109339999999994</v>
      </c>
      <c r="Z5" s="143">
        <f>CdTrp1!U215+CdTrp2!U215+CdTrp3!U215+CdTrp4!U215</f>
        <v>7.8401789999999982</v>
      </c>
      <c r="AA5" s="143">
        <f>CdTrp1!V215+CdTrp2!V215+CdTrp3!V215+CdTrp4!V215</f>
        <v>0.57680999999999993</v>
      </c>
      <c r="AB5" s="143">
        <f>CdTrp1!W215+CdTrp2!W215+CdTrp3!W215+CdTrp4!W215</f>
        <v>3.3077399999999999</v>
      </c>
      <c r="AC5" s="143">
        <f>CdTrp1!X215+CdTrp2!X215+CdTrp3!X215+CdTrp4!X215</f>
        <v>3.2193189999999992</v>
      </c>
      <c r="AD5" s="143">
        <f>CdTrp1!Y215+CdTrp2!Y215+CdTrp3!Y215+CdTrp4!Y215</f>
        <v>2.4165119999999995</v>
      </c>
      <c r="AE5" s="153"/>
      <c r="AF5" s="144">
        <f>AF8+AF9</f>
        <v>175.03368325</v>
      </c>
      <c r="AG5" t="s">
        <v>221</v>
      </c>
    </row>
    <row r="6" spans="1:53" x14ac:dyDescent="0.25">
      <c r="B6" s="14" t="s">
        <v>291</v>
      </c>
      <c r="C6" s="143">
        <f>SUM(Troupeau!B68:E68)</f>
        <v>14.8596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3.0206399999999993</v>
      </c>
      <c r="L6" s="143">
        <f>CdTrp1!G216+CdTrp2!G216+CdTrp3!G216+CdTrp4!G216</f>
        <v>3.0206399999999993</v>
      </c>
      <c r="M6" s="143">
        <f>CdTrp1!H216+CdTrp2!H216+CdTrp3!H216+CdTrp4!H216</f>
        <v>2.9232</v>
      </c>
      <c r="N6" s="143">
        <f>CdTrp1!I216+CdTrp2!I216+CdTrp3!I216+CdTrp4!I216</f>
        <v>3.80016</v>
      </c>
      <c r="O6" s="143">
        <f>CdTrp1!J216+CdTrp2!J216+CdTrp3!J216+CdTrp4!J216</f>
        <v>3.9268319999999992</v>
      </c>
      <c r="P6" s="143">
        <f>CdTrp1!K216+CdTrp2!K216+CdTrp3!K216+CdTrp4!K216</f>
        <v>3.9268319999999992</v>
      </c>
      <c r="Q6" s="143">
        <f>CdTrp1!L216+CdTrp2!L216+CdTrp3!L216+CdTrp4!L216</f>
        <v>3.80016</v>
      </c>
      <c r="R6" s="143">
        <f>CdTrp1!M216+CdTrp2!M216+CdTrp3!M216+CdTrp4!M216</f>
        <v>3.80016</v>
      </c>
      <c r="S6" s="143">
        <f>CdTrp1!N216+CdTrp2!N216+CdTrp3!N216+CdTrp4!N216</f>
        <v>3.9268319999999992</v>
      </c>
      <c r="T6" s="143">
        <f>CdTrp1!O216+CdTrp2!O216+CdTrp3!O216+CdTrp4!O216</f>
        <v>3.9268319999999992</v>
      </c>
      <c r="U6" s="143">
        <f>CdTrp1!P216+CdTrp2!P216+CdTrp3!P216+CdTrp4!P216</f>
        <v>3.9268319999999992</v>
      </c>
      <c r="V6" s="143">
        <f>CdTrp1!Q216+CdTrp2!Q216+CdTrp3!Q216+CdTrp4!Q216</f>
        <v>3.9268319999999992</v>
      </c>
      <c r="W6" s="143">
        <f>CdTrp1!R216+CdTrp2!R216+CdTrp3!R216+CdTrp4!R216</f>
        <v>2.9232</v>
      </c>
      <c r="X6" s="143">
        <f>CdTrp1!S216+CdTrp2!S216+CdTrp3!S216+CdTrp4!S216</f>
        <v>2.9232</v>
      </c>
      <c r="Y6" s="143">
        <f>CdTrp1!T216+CdTrp2!T216+CdTrp3!T216+CdTrp4!T216</f>
        <v>3.0206399999999993</v>
      </c>
      <c r="Z6" s="143">
        <f>CdTrp1!U216+CdTrp2!U216+CdTrp3!U216+CdTrp4!U216</f>
        <v>3.0206399999999993</v>
      </c>
      <c r="AA6" s="143">
        <f>CdTrp1!V216+CdTrp2!V216+CdTrp3!V216+CdTrp4!V216</f>
        <v>2.9232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80.899999999999991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2.4165119999999995</v>
      </c>
      <c r="H8" s="143">
        <f t="shared" ref="H8:AD8" si="0">SUM(H5:H7)</f>
        <v>2.4165119999999995</v>
      </c>
      <c r="I8" s="143">
        <f t="shared" si="0"/>
        <v>2.1826559999999997</v>
      </c>
      <c r="J8" s="143">
        <f t="shared" si="0"/>
        <v>2.1826559999999997</v>
      </c>
      <c r="K8" s="143">
        <f t="shared" si="0"/>
        <v>3.4179979999999994</v>
      </c>
      <c r="L8" s="143">
        <f t="shared" si="0"/>
        <v>3.8153559999999991</v>
      </c>
      <c r="M8" s="143">
        <f t="shared" si="0"/>
        <v>8.7149640000000002</v>
      </c>
      <c r="N8" s="143">
        <f t="shared" si="0"/>
        <v>9.6865799999999993</v>
      </c>
      <c r="O8" s="143">
        <f t="shared" si="0"/>
        <v>11.14422875</v>
      </c>
      <c r="P8" s="143">
        <f t="shared" si="0"/>
        <v>11.155690999999999</v>
      </c>
      <c r="Q8" s="143">
        <f t="shared" si="0"/>
        <v>10.806922499999999</v>
      </c>
      <c r="R8" s="143">
        <f t="shared" si="0"/>
        <v>10.806922499999999</v>
      </c>
      <c r="S8" s="143">
        <f t="shared" si="0"/>
        <v>11.167153249999998</v>
      </c>
      <c r="T8" s="143">
        <f t="shared" si="0"/>
        <v>11.167153249999998</v>
      </c>
      <c r="U8" s="143">
        <f t="shared" si="0"/>
        <v>10.979936499999999</v>
      </c>
      <c r="V8" s="143">
        <f t="shared" si="0"/>
        <v>10.781257499999999</v>
      </c>
      <c r="W8" s="143">
        <f t="shared" si="0"/>
        <v>9.0462600000000002</v>
      </c>
      <c r="X8" s="143">
        <f t="shared" si="0"/>
        <v>9.2089499999999997</v>
      </c>
      <c r="Y8" s="143">
        <f t="shared" si="0"/>
        <v>10.631573999999999</v>
      </c>
      <c r="Z8" s="143">
        <f t="shared" si="0"/>
        <v>10.860818999999998</v>
      </c>
      <c r="AA8" s="143">
        <f t="shared" si="0"/>
        <v>3.5000100000000001</v>
      </c>
      <c r="AB8" s="143">
        <f t="shared" si="0"/>
        <v>3.3077399999999999</v>
      </c>
      <c r="AC8" s="143">
        <f t="shared" si="0"/>
        <v>3.2193189999999992</v>
      </c>
      <c r="AD8" s="143">
        <f t="shared" si="0"/>
        <v>2.4165119999999995</v>
      </c>
      <c r="AE8" s="153"/>
      <c r="AF8" s="144">
        <f>SUM(G8:AD8)</f>
        <v>175.03368325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4.5999999999999996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4.2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3.5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4.5999999999999996</v>
      </c>
      <c r="H14" s="145">
        <f>CdTrp1!AL54+CdTrp2!AL54+CdTrp3!AL54+CdTrp4!AL54</f>
        <v>4.2</v>
      </c>
      <c r="I14" s="145">
        <f>CdTrp1!AM54+CdTrp2!AM54+CdTrp3!AM54+CdTrp4!AM54</f>
        <v>3.5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0.1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7.6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0.1</v>
      </c>
      <c r="F16" s="156" t="s">
        <v>438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439</v>
      </c>
      <c r="G17" s="140">
        <f>CdTrp1!AC77+CdTrp2!AC77+CdTrp3!AC77+CdTrp4!AC77</f>
        <v>28.5</v>
      </c>
      <c r="H17" s="49" t="s">
        <v>444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440</v>
      </c>
      <c r="F18" s="156">
        <v>1</v>
      </c>
      <c r="G18" s="156">
        <f>CdTrp1!AC78+CdTrp2!AC78+CdTrp3!AC78+CdTrp4!AC78</f>
        <v>20</v>
      </c>
      <c r="H18" s="157">
        <f>G18/$G$17</f>
        <v>0.70175438596491224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441</v>
      </c>
      <c r="F19" s="156">
        <v>2</v>
      </c>
      <c r="G19" s="156">
        <f>CdTrp1!AC79+CdTrp2!AC79+CdTrp3!AC79+CdTrp4!AC79</f>
        <v>8.5</v>
      </c>
      <c r="H19" s="157">
        <f t="shared" ref="H19:H21" si="1">G19/$G$17</f>
        <v>0.2982456140350877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442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443</v>
      </c>
      <c r="F21" s="156">
        <v>4</v>
      </c>
      <c r="G21" s="156">
        <f>CdTrp1!AC81+CdTrp2!AC81+CdTrp3!AC81+CdTrp4!AC81</f>
        <v>0</v>
      </c>
      <c r="H21" s="157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7.6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B2" zoomScale="80" zoomScaleNormal="80" workbookViewId="0">
      <selection activeCell="R10" sqref="R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9" t="s">
        <v>249</v>
      </c>
      <c r="AT2" s="279"/>
      <c r="AU2" s="278" t="s">
        <v>250</v>
      </c>
      <c r="AV2" s="278"/>
      <c r="AW2" s="278" t="s">
        <v>251</v>
      </c>
      <c r="AX2" s="278"/>
      <c r="AY2" s="278" t="s">
        <v>252</v>
      </c>
      <c r="AZ2" s="278"/>
      <c r="BA2" s="278" t="s">
        <v>253</v>
      </c>
      <c r="BB2" s="278"/>
      <c r="BC2" s="278" t="s">
        <v>254</v>
      </c>
      <c r="BD2" s="278"/>
      <c r="BE2" s="278" t="s">
        <v>255</v>
      </c>
      <c r="BF2" s="278"/>
      <c r="BG2" s="278" t="s">
        <v>256</v>
      </c>
      <c r="BH2" s="278"/>
      <c r="BI2" s="278" t="s">
        <v>257</v>
      </c>
      <c r="BJ2" s="278"/>
      <c r="BK2" s="278" t="s">
        <v>258</v>
      </c>
      <c r="BL2" s="278"/>
      <c r="BM2" s="278" t="s">
        <v>259</v>
      </c>
      <c r="BN2" s="278"/>
      <c r="BO2" s="278" t="s">
        <v>260</v>
      </c>
      <c r="BP2" s="278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2.4165119999999995</v>
      </c>
      <c r="AT5" s="13">
        <f>'Conduite Trp'!H8</f>
        <v>2.4165119999999995</v>
      </c>
      <c r="AU5" s="13">
        <f>'Conduite Trp'!I8</f>
        <v>2.1826559999999997</v>
      </c>
      <c r="AV5" s="13">
        <f>'Conduite Trp'!J8</f>
        <v>2.1826559999999997</v>
      </c>
      <c r="AW5" s="13">
        <f>'Conduite Trp'!K8</f>
        <v>3.4179979999999994</v>
      </c>
      <c r="AX5" s="13">
        <f>'Conduite Trp'!L8</f>
        <v>3.8153559999999991</v>
      </c>
      <c r="AY5" s="13">
        <f>'Conduite Trp'!M8</f>
        <v>8.7149640000000002</v>
      </c>
      <c r="AZ5" s="13">
        <f>'Conduite Trp'!N8</f>
        <v>9.6865799999999993</v>
      </c>
      <c r="BA5" s="13">
        <f>'Conduite Trp'!O8</f>
        <v>11.14422875</v>
      </c>
      <c r="BB5" s="13">
        <f>'Conduite Trp'!P8</f>
        <v>11.155690999999999</v>
      </c>
      <c r="BC5" s="13">
        <f>'Conduite Trp'!Q8</f>
        <v>10.806922499999999</v>
      </c>
      <c r="BD5" s="13">
        <f>'Conduite Trp'!R8</f>
        <v>10.806922499999999</v>
      </c>
      <c r="BE5" s="13">
        <f>'Conduite Trp'!S8</f>
        <v>11.167153249999998</v>
      </c>
      <c r="BF5" s="13">
        <f>'Conduite Trp'!T8</f>
        <v>11.167153249999998</v>
      </c>
      <c r="BG5" s="13">
        <f>'Conduite Trp'!U8</f>
        <v>10.979936499999999</v>
      </c>
      <c r="BH5" s="13">
        <f>'Conduite Trp'!V8</f>
        <v>10.781257499999999</v>
      </c>
      <c r="BI5" s="13">
        <f>'Conduite Trp'!W8</f>
        <v>9.0462600000000002</v>
      </c>
      <c r="BJ5" s="13">
        <f>'Conduite Trp'!X8</f>
        <v>9.2089499999999997</v>
      </c>
      <c r="BK5" s="13">
        <f>'Conduite Trp'!Y8</f>
        <v>10.631573999999999</v>
      </c>
      <c r="BL5" s="13">
        <f>'Conduite Trp'!Z8</f>
        <v>10.860818999999998</v>
      </c>
      <c r="BM5" s="13">
        <f>'Conduite Trp'!AA8</f>
        <v>3.5000100000000001</v>
      </c>
      <c r="BN5" s="13">
        <f>'Conduite Trp'!AB8</f>
        <v>3.3077399999999999</v>
      </c>
      <c r="BO5" s="13">
        <f>'Conduite Trp'!AC8</f>
        <v>3.2193189999999992</v>
      </c>
      <c r="BP5" s="13">
        <f>'Conduite Trp'!AD8</f>
        <v>2.4165119999999995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v>31</v>
      </c>
      <c r="P7">
        <v>1</v>
      </c>
      <c r="Q7" s="39">
        <v>317</v>
      </c>
      <c r="R7" s="39"/>
      <c r="S7" s="273" t="str">
        <f>VLOOKUP($Q7,[1]MEP!$A$5:$D$300,3)</f>
        <v>PP MOYENNE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2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2.5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8.7149640000000002</v>
      </c>
      <c r="AZ7" s="61">
        <f t="shared" si="7"/>
        <v>9.6865799999999993</v>
      </c>
      <c r="BA7" s="61">
        <f t="shared" si="7"/>
        <v>11.14422875</v>
      </c>
      <c r="BB7" s="61">
        <f t="shared" si="7"/>
        <v>11.155690999999999</v>
      </c>
      <c r="BC7" s="61">
        <f t="shared" si="7"/>
        <v>10.806922499999999</v>
      </c>
      <c r="BD7" s="61">
        <f t="shared" si="7"/>
        <v>10.806922499999999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62.31530875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71.918823529411782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31</v>
      </c>
      <c r="P8">
        <v>2</v>
      </c>
      <c r="Q8" s="39">
        <v>80</v>
      </c>
      <c r="R8" s="39"/>
      <c r="S8" s="273" t="str">
        <f>VLOOKUP($Q8,[1]MEP!$A$5:$D$300,3)</f>
        <v>PP moyenne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0.5</v>
      </c>
      <c r="W8" s="76">
        <f>VLOOKUP($Q8,[1]MEP!$A$4:$K$300,6)</f>
        <v>0.7</v>
      </c>
      <c r="X8" s="76">
        <f>VLOOKUP($Q8,[1]MEP!$A$4:$K$300,7)</f>
        <v>1.9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2.8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11.167153249999998</v>
      </c>
      <c r="BF8" s="61">
        <f t="shared" si="8"/>
        <v>11.167153249999998</v>
      </c>
      <c r="BG8" s="61">
        <f t="shared" si="8"/>
        <v>10.979936499999999</v>
      </c>
      <c r="BH8" s="61">
        <f t="shared" si="8"/>
        <v>10.781257499999999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44.0955005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71.918823529411782</v>
      </c>
      <c r="G9" s="81"/>
      <c r="H9" s="61">
        <f>SUM(L34:L43)</f>
        <v>16</v>
      </c>
      <c r="I9" s="81"/>
      <c r="J9" s="81"/>
      <c r="K9" s="93">
        <f>H9-F9</f>
        <v>-55.918823529411782</v>
      </c>
      <c r="L9" s="81"/>
      <c r="M9" s="100"/>
      <c r="P9">
        <v>3</v>
      </c>
      <c r="Q9" s="39">
        <v>30</v>
      </c>
      <c r="R9" s="39"/>
      <c r="S9" s="273" t="str">
        <f>VLOOKUP($Q9,[1]MEP!$A$5:$D$300,3)</f>
        <v>PT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2.4609999999999999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5.992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2.4165119999999995</v>
      </c>
      <c r="AT9" s="61">
        <f t="shared" ref="AT9:BP9" si="10">IF(AT$4=3,AT$5,0)</f>
        <v>2.4165119999999995</v>
      </c>
      <c r="AU9" s="61">
        <f t="shared" si="10"/>
        <v>2.1826559999999997</v>
      </c>
      <c r="AV9" s="61">
        <f t="shared" si="10"/>
        <v>2.1826559999999997</v>
      </c>
      <c r="AW9" s="61">
        <f t="shared" si="10"/>
        <v>3.4179979999999994</v>
      </c>
      <c r="AX9" s="61">
        <f t="shared" si="10"/>
        <v>3.8153559999999991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9.0462600000000002</v>
      </c>
      <c r="BJ9" s="61">
        <f t="shared" si="10"/>
        <v>9.2089499999999997</v>
      </c>
      <c r="BK9" s="61">
        <f t="shared" si="10"/>
        <v>10.631573999999999</v>
      </c>
      <c r="BL9" s="61">
        <f t="shared" si="10"/>
        <v>10.860818999999998</v>
      </c>
      <c r="BM9" s="61">
        <f t="shared" si="10"/>
        <v>3.5000100000000001</v>
      </c>
      <c r="BN9" s="61">
        <f t="shared" si="10"/>
        <v>3.3077399999999999</v>
      </c>
      <c r="BO9" s="61">
        <f t="shared" si="10"/>
        <v>3.2193189999999992</v>
      </c>
      <c r="BP9" s="61">
        <f t="shared" si="10"/>
        <v>2.4165119999999995</v>
      </c>
      <c r="BR9" s="61">
        <f t="shared" si="9"/>
        <v>68.622873999999996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14.8596</v>
      </c>
      <c r="G10" s="81"/>
      <c r="H10" s="61">
        <f>SUM(M34:M43)</f>
        <v>21</v>
      </c>
      <c r="I10" s="81"/>
      <c r="J10" s="81"/>
      <c r="K10" s="93">
        <f>H10-F10</f>
        <v>6.1403999999999996</v>
      </c>
      <c r="L10" s="81"/>
      <c r="M10" s="100"/>
      <c r="P10">
        <v>4</v>
      </c>
      <c r="Q10" s="276">
        <v>130</v>
      </c>
      <c r="R10" s="276"/>
      <c r="S10" s="273" t="str">
        <f>VLOOKUP($Q10,[1]MEP!$A$5:$D$300,3)</f>
        <v>PP médiocre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0.9</v>
      </c>
      <c r="X10" s="76">
        <f>VLOOKUP($Q10,[1]MEP!$A$4:$K$300,7)</f>
        <v>1.6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1.5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318</v>
      </c>
      <c r="R11" s="39"/>
      <c r="S11" s="273" t="str">
        <f>VLOOKUP($Q11,[1]MEP!$A$5:$D$300,3)</f>
        <v>PP MEDIOCRE 1 COUPE ESTIVALE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1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1.5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319</v>
      </c>
      <c r="R12" s="39">
        <v>24.5</v>
      </c>
      <c r="S12" s="273" t="str">
        <f>VLOOKUP($Q12,[1]MEP!$A$5:$D$300,3)</f>
        <v>PP MEDIOCRE PRELVT ETALE</v>
      </c>
      <c r="T12" s="76" t="str">
        <f>VLOOKUP($Q12,[1]MEP!$A$5:$D$300,4)</f>
        <v>zone 3</v>
      </c>
      <c r="U12" s="76" t="str">
        <f>VLOOKUP($Q12,[1]MEP!$A$4:$K$300,2)</f>
        <v>P</v>
      </c>
      <c r="V12" s="76">
        <f>VLOOKUP($Q12,[1]MEP!$A$4:$K$300,5)</f>
        <v>1</v>
      </c>
      <c r="W12" s="76">
        <f>VLOOKUP($Q12,[1]MEP!$A$4:$K$300,6)</f>
        <v>1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24.5</v>
      </c>
      <c r="AF12" s="61">
        <f t="shared" si="1"/>
        <v>24.5</v>
      </c>
      <c r="AG12" s="61">
        <f t="shared" si="2"/>
        <v>49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4.5999999999999996</v>
      </c>
      <c r="G13" s="81"/>
      <c r="H13" s="61">
        <f>F61</f>
        <v>9</v>
      </c>
      <c r="I13" s="81"/>
      <c r="J13" s="81"/>
      <c r="K13" s="93">
        <f>H13-F13</f>
        <v>4.4000000000000004</v>
      </c>
      <c r="L13" s="81"/>
      <c r="M13" s="100"/>
      <c r="O13">
        <f>+O7+O29</f>
        <v>46</v>
      </c>
      <c r="P13">
        <v>7</v>
      </c>
      <c r="Q13" s="39">
        <v>228</v>
      </c>
      <c r="R13" s="39">
        <v>4</v>
      </c>
      <c r="S13" s="273" t="str">
        <f>VLOOKUP($Q13,[1]MEP!$A$5:$D$300,3)</f>
        <v>PP moyenne prélvt étalé</v>
      </c>
      <c r="T13" s="76" t="str">
        <f>VLOOKUP($Q13,[1]MEP!$A$5:$D$300,4)</f>
        <v>zone 3</v>
      </c>
      <c r="U13" s="76" t="str">
        <f>VLOOKUP($Q13,[1]MEP!$A$4:$K$300,2)</f>
        <v>P</v>
      </c>
      <c r="V13" s="76">
        <f>VLOOKUP($Q13,[1]MEP!$A$4:$K$300,5)</f>
        <v>1.6</v>
      </c>
      <c r="W13" s="76">
        <f>VLOOKUP($Q13,[1]MEP!$A$4:$K$300,6)</f>
        <v>1.4</v>
      </c>
      <c r="X13" s="76">
        <f>VLOOKUP($Q13,[1]MEP!$A$4:$K$300,7)</f>
        <v>1.2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6.4</v>
      </c>
      <c r="AF13" s="61">
        <f t="shared" si="1"/>
        <v>5.6</v>
      </c>
      <c r="AG13" s="61">
        <f t="shared" si="2"/>
        <v>4.8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4.2</v>
      </c>
      <c r="G14" s="81"/>
      <c r="H14" s="61">
        <f>G61</f>
        <v>5.0999999999999996</v>
      </c>
      <c r="I14" s="81"/>
      <c r="J14" s="81"/>
      <c r="K14" s="93">
        <f t="shared" ref="K14:K17" si="14">H14-F14</f>
        <v>0.89999999999999947</v>
      </c>
      <c r="L14" s="81"/>
      <c r="M14" s="100"/>
      <c r="O14">
        <f>+O13-6</f>
        <v>40</v>
      </c>
      <c r="P14">
        <v>8</v>
      </c>
      <c r="Q14" s="39">
        <v>127</v>
      </c>
      <c r="R14" s="39"/>
      <c r="S14" s="273" t="str">
        <f>VLOOKUP($Q14,[1]MEP!$A$5:$D$300,3)</f>
        <v>PP moyenne</v>
      </c>
      <c r="T14" s="76" t="str">
        <f>VLOOKUP($Q14,[1]MEP!$A$5:$D$300,4)</f>
        <v>zone 3</v>
      </c>
      <c r="U14" s="76" t="str">
        <f>VLOOKUP($Q14,[1]MEP!$A$4:$K$300,2)</f>
        <v>P</v>
      </c>
      <c r="V14" s="76">
        <f>VLOOKUP($Q14,[1]MEP!$A$4:$K$300,5)</f>
        <v>3</v>
      </c>
      <c r="W14" s="76">
        <f>VLOOKUP($Q14,[1]MEP!$A$4:$K$300,6)</f>
        <v>1</v>
      </c>
      <c r="X14" s="76">
        <f>VLOOKUP($Q14,[1]MEP!$A$4:$K$300,7)</f>
        <v>1.6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465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3.5</v>
      </c>
      <c r="G15" s="81"/>
      <c r="H15" s="61">
        <f>H61</f>
        <v>0</v>
      </c>
      <c r="I15" s="81"/>
      <c r="J15" s="81"/>
      <c r="K15" s="93">
        <f t="shared" si="14"/>
        <v>-3.5</v>
      </c>
      <c r="L15" s="81"/>
      <c r="M15" s="100"/>
      <c r="P15">
        <v>9</v>
      </c>
      <c r="Q15" s="39">
        <v>210</v>
      </c>
      <c r="R15" s="39">
        <v>2.5</v>
      </c>
      <c r="S15" s="273" t="str">
        <f>VLOOKUP($Q15,[1]MEP!$A$5:$D$300,3)</f>
        <v>PT 1 coupe estivale</v>
      </c>
      <c r="T15" s="76" t="str">
        <f>VLOOKUP($Q15,[1]MEP!$A$5:$D$300,4)</f>
        <v xml:space="preserve">zone 3 </v>
      </c>
      <c r="U15" s="76" t="str">
        <f>VLOOKUP($Q15,[1]MEP!$A$4:$K$300,2)</f>
        <v>F/P</v>
      </c>
      <c r="V15" s="76">
        <f>VLOOKUP($Q15,[1]MEP!$A$4:$K$300,5)</f>
        <v>3.7</v>
      </c>
      <c r="W15" s="76">
        <f>VLOOKUP($Q15,[1]MEP!$A$4:$K$300,6)</f>
        <v>0</v>
      </c>
      <c r="X15" s="76">
        <f>VLOOKUP($Q15,[1]MEP!$A$4:$K$300,7)</f>
        <v>2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3.85</v>
      </c>
      <c r="AE15" s="61">
        <f t="shared" si="0"/>
        <v>9.25</v>
      </c>
      <c r="AF15" s="61">
        <f t="shared" si="1"/>
        <v>0</v>
      </c>
      <c r="AG15" s="61">
        <f t="shared" si="2"/>
        <v>5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9.625</v>
      </c>
      <c r="AR15" s="32" t="s">
        <v>466</v>
      </c>
      <c r="AS15" s="13">
        <f>'Conduite Trp'!G5</f>
        <v>2.4165119999999995</v>
      </c>
      <c r="AT15" s="13">
        <f>'Conduite Trp'!H5</f>
        <v>2.4165119999999995</v>
      </c>
      <c r="AU15" s="13">
        <f>'Conduite Trp'!I5</f>
        <v>2.1826559999999997</v>
      </c>
      <c r="AV15" s="13">
        <f>'Conduite Trp'!J5</f>
        <v>2.1826559999999997</v>
      </c>
      <c r="AW15" s="13">
        <f>'Conduite Trp'!K5</f>
        <v>0.39735799999999993</v>
      </c>
      <c r="AX15" s="13">
        <f>'Conduite Trp'!L5</f>
        <v>0.79471599999999987</v>
      </c>
      <c r="AY15" s="13">
        <f>'Conduite Trp'!M5</f>
        <v>5.7917640000000006</v>
      </c>
      <c r="AZ15" s="13">
        <f>'Conduite Trp'!N5</f>
        <v>5.8864199999999993</v>
      </c>
      <c r="BA15" s="13">
        <f>'Conduite Trp'!O5</f>
        <v>7.2173967499999998</v>
      </c>
      <c r="BB15" s="13">
        <f>'Conduite Trp'!P5</f>
        <v>7.2288589999999999</v>
      </c>
      <c r="BC15" s="13">
        <f>'Conduite Trp'!Q5</f>
        <v>7.0067624999999989</v>
      </c>
      <c r="BD15" s="13">
        <f>'Conduite Trp'!R5</f>
        <v>7.0067624999999989</v>
      </c>
      <c r="BE15" s="13">
        <f>'Conduite Trp'!S5</f>
        <v>7.2403212499999992</v>
      </c>
      <c r="BF15" s="13">
        <f>'Conduite Trp'!T5</f>
        <v>7.2403212499999992</v>
      </c>
      <c r="BG15" s="13">
        <f>'Conduite Trp'!U5</f>
        <v>7.0531044999999999</v>
      </c>
      <c r="BH15" s="13">
        <f>'Conduite Trp'!V5</f>
        <v>6.8544255000000005</v>
      </c>
      <c r="BI15" s="13">
        <f>'Conduite Trp'!W5</f>
        <v>6.1230600000000006</v>
      </c>
      <c r="BJ15" s="13">
        <f>'Conduite Trp'!X5</f>
        <v>6.2857500000000002</v>
      </c>
      <c r="BK15" s="13">
        <f>'Conduite Trp'!Y5</f>
        <v>7.6109339999999994</v>
      </c>
      <c r="BL15" s="13">
        <f>'Conduite Trp'!Z5</f>
        <v>7.8401789999999982</v>
      </c>
      <c r="BM15" s="13">
        <f>'Conduite Trp'!AA5</f>
        <v>0.57680999999999993</v>
      </c>
      <c r="BN15" s="13">
        <f>'Conduite Trp'!AB5</f>
        <v>3.3077399999999999</v>
      </c>
      <c r="BO15" s="13">
        <f>'Conduite Trp'!AC5</f>
        <v>3.2193189999999992</v>
      </c>
      <c r="BP15" s="13">
        <f>'Conduite Trp'!AD5</f>
        <v>2.4165119999999995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467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3.0206399999999993</v>
      </c>
      <c r="AX16" s="13">
        <f>'Conduite Trp'!L6</f>
        <v>3.0206399999999993</v>
      </c>
      <c r="AY16" s="13">
        <f>'Conduite Trp'!M6</f>
        <v>2.9232</v>
      </c>
      <c r="AZ16" s="13">
        <f>'Conduite Trp'!N6</f>
        <v>3.80016</v>
      </c>
      <c r="BA16" s="13">
        <f>'Conduite Trp'!O6</f>
        <v>3.9268319999999992</v>
      </c>
      <c r="BB16" s="13">
        <f>'Conduite Trp'!P6</f>
        <v>3.9268319999999992</v>
      </c>
      <c r="BC16" s="13">
        <f>'Conduite Trp'!Q6</f>
        <v>3.80016</v>
      </c>
      <c r="BD16" s="13">
        <f>'Conduite Trp'!R6</f>
        <v>3.80016</v>
      </c>
      <c r="BE16" s="13">
        <f>'Conduite Trp'!S6</f>
        <v>3.9268319999999992</v>
      </c>
      <c r="BF16" s="13">
        <f>'Conduite Trp'!T6</f>
        <v>3.9268319999999992</v>
      </c>
      <c r="BG16" s="13">
        <f>'Conduite Trp'!U6</f>
        <v>3.9268319999999992</v>
      </c>
      <c r="BH16" s="13">
        <f>'Conduite Trp'!V6</f>
        <v>3.9268319999999992</v>
      </c>
      <c r="BI16" s="13">
        <f>'Conduite Trp'!W6</f>
        <v>2.9232</v>
      </c>
      <c r="BJ16" s="13">
        <f>'Conduite Trp'!X6</f>
        <v>2.9232</v>
      </c>
      <c r="BK16" s="13">
        <f>'Conduite Trp'!Y6</f>
        <v>3.0206399999999993</v>
      </c>
      <c r="BL16" s="13">
        <f>'Conduite Trp'!Z6</f>
        <v>3.0206399999999993</v>
      </c>
      <c r="BM16" s="13">
        <f>'Conduite Trp'!AA6</f>
        <v>2.9232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468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466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5.7917640000000006</v>
      </c>
      <c r="AZ19" s="61">
        <f t="shared" si="15"/>
        <v>5.8864199999999993</v>
      </c>
      <c r="BA19" s="61">
        <f t="shared" si="15"/>
        <v>7.2173967499999998</v>
      </c>
      <c r="BB19" s="61">
        <f t="shared" si="15"/>
        <v>7.2288589999999999</v>
      </c>
      <c r="BC19" s="61">
        <f t="shared" si="15"/>
        <v>7.0067624999999989</v>
      </c>
      <c r="BD19" s="61">
        <f t="shared" si="15"/>
        <v>7.0067624999999989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40.137964750000002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7.2403212499999992</v>
      </c>
      <c r="BF20" s="61">
        <f t="shared" si="16"/>
        <v>7.2403212499999992</v>
      </c>
      <c r="BG20" s="61">
        <f t="shared" si="16"/>
        <v>7.0531044999999999</v>
      </c>
      <c r="BH20" s="61">
        <f t="shared" si="16"/>
        <v>6.8544255000000005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28.3881725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276"/>
      <c r="R21" s="276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2.4165119999999995</v>
      </c>
      <c r="AT21" s="61">
        <f t="shared" ref="AT21:BP21" si="18">IF(AT$4=3,AT$15,0)</f>
        <v>2.4165119999999995</v>
      </c>
      <c r="AU21" s="61">
        <f t="shared" si="18"/>
        <v>2.1826559999999997</v>
      </c>
      <c r="AV21" s="61">
        <f t="shared" si="18"/>
        <v>2.1826559999999997</v>
      </c>
      <c r="AW21" s="61">
        <f t="shared" si="18"/>
        <v>0.39735799999999993</v>
      </c>
      <c r="AX21" s="61">
        <f t="shared" si="18"/>
        <v>0.79471599999999987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6.1230600000000006</v>
      </c>
      <c r="BJ21" s="61">
        <f t="shared" si="18"/>
        <v>6.2857500000000002</v>
      </c>
      <c r="BK21" s="61">
        <f t="shared" si="18"/>
        <v>7.6109339999999994</v>
      </c>
      <c r="BL21" s="61">
        <f t="shared" si="18"/>
        <v>7.8401789999999982</v>
      </c>
      <c r="BM21" s="61">
        <f t="shared" si="18"/>
        <v>0.57680999999999993</v>
      </c>
      <c r="BN21" s="61">
        <f t="shared" si="18"/>
        <v>3.3077399999999999</v>
      </c>
      <c r="BO21" s="61">
        <f t="shared" si="18"/>
        <v>3.2193189999999992</v>
      </c>
      <c r="BP21" s="61">
        <f t="shared" si="18"/>
        <v>2.4165119999999995</v>
      </c>
      <c r="BR21" s="61">
        <f t="shared" si="17"/>
        <v>47.770713999999998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62.295000000000002</v>
      </c>
      <c r="E24" s="61">
        <f t="shared" si="21"/>
        <v>46.2</v>
      </c>
      <c r="F24" s="61">
        <f t="shared" si="21"/>
        <v>81.213499999999996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30.597000000000001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62.31530875</v>
      </c>
      <c r="E25" s="61">
        <f>BR8</f>
        <v>44.0955005</v>
      </c>
      <c r="F25" s="61">
        <f>BR9</f>
        <v>68.622873999999996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80.899999999999991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-2.0308749999998099E-2</v>
      </c>
      <c r="E27" s="93">
        <f t="shared" si="23"/>
        <v>2.1044995000000029</v>
      </c>
      <c r="F27" s="93">
        <f t="shared" si="23"/>
        <v>12.590626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-50.30299999999999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40.15</v>
      </c>
      <c r="AF27" s="75">
        <f t="shared" ref="AF27:AJ27" si="24">SUM(AF7:AF26)</f>
        <v>30.1</v>
      </c>
      <c r="AG27" s="75">
        <f t="shared" si="24"/>
        <v>58.8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9.625</v>
      </c>
      <c r="AQ27" s="32" t="s">
        <v>467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2.9232</v>
      </c>
      <c r="AZ27" s="61">
        <f t="shared" si="25"/>
        <v>3.80016</v>
      </c>
      <c r="BA27" s="61">
        <f t="shared" si="25"/>
        <v>3.9268319999999992</v>
      </c>
      <c r="BB27" s="61">
        <f t="shared" si="25"/>
        <v>3.9268319999999992</v>
      </c>
      <c r="BC27" s="61">
        <f t="shared" si="25"/>
        <v>3.80016</v>
      </c>
      <c r="BD27" s="61">
        <f t="shared" si="25"/>
        <v>3.80016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22.177343999999998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3.9268319999999992</v>
      </c>
      <c r="BF28" s="61">
        <f t="shared" si="26"/>
        <v>3.9268319999999992</v>
      </c>
      <c r="BG28" s="61">
        <f t="shared" si="26"/>
        <v>3.9268319999999992</v>
      </c>
      <c r="BH28" s="61">
        <f t="shared" si="26"/>
        <v>3.9268319999999992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15.707327999999997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15</v>
      </c>
      <c r="P29">
        <v>1</v>
      </c>
      <c r="Q29" s="276">
        <v>30</v>
      </c>
      <c r="R29" s="276">
        <v>3.5</v>
      </c>
      <c r="S29" s="273" t="str">
        <f>VLOOKUP($Q29,[1]MEP!$A$5:$D$300,3)</f>
        <v>PT 2 coupes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1.07</v>
      </c>
      <c r="W29" s="76">
        <f>VLOOKUP($Q29,[1]MEP!$A$4:$K$300,6)</f>
        <v>0</v>
      </c>
      <c r="X29" s="76">
        <f>VLOOKUP($Q29,[1]MEP!$A$4:$K$300,7)</f>
        <v>2.4609999999999999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5.992</v>
      </c>
      <c r="AE29" s="61">
        <f t="shared" ref="AE29:AE48" si="28">$R29*V29</f>
        <v>3.7450000000000001</v>
      </c>
      <c r="AF29" s="61">
        <f t="shared" ref="AF29:AF48" si="29">$R29*W29</f>
        <v>0</v>
      </c>
      <c r="AG29" s="61">
        <f t="shared" ref="AG29:AG48" si="30">$R29*X29</f>
        <v>8.6135000000000002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20.972000000000001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3.0206399999999993</v>
      </c>
      <c r="AX29" s="61">
        <f t="shared" si="35"/>
        <v>3.0206399999999993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2.9232</v>
      </c>
      <c r="BJ29" s="61">
        <f t="shared" si="35"/>
        <v>2.9232</v>
      </c>
      <c r="BK29" s="61">
        <f t="shared" si="35"/>
        <v>3.0206399999999993</v>
      </c>
      <c r="BL29" s="61">
        <f t="shared" si="35"/>
        <v>3.0206399999999993</v>
      </c>
      <c r="BM29" s="61">
        <f t="shared" si="35"/>
        <v>2.9232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20.852159999999998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6">
        <v>228</v>
      </c>
      <c r="R30" s="276">
        <v>11.5</v>
      </c>
      <c r="S30" s="273" t="str">
        <f>VLOOKUP($Q30,[1]MEP!$A$5:$D$300,3)</f>
        <v>PP moyenne prélvt étalé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1.6</v>
      </c>
      <c r="W30" s="76">
        <f>VLOOKUP($Q30,[1]MEP!$A$4:$K$300,6)</f>
        <v>1.4</v>
      </c>
      <c r="X30" s="76">
        <f>VLOOKUP($Q30,[1]MEP!$A$4:$K$300,7)</f>
        <v>1.2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18.400000000000002</v>
      </c>
      <c r="AF30" s="61">
        <f t="shared" si="29"/>
        <v>16.099999999999998</v>
      </c>
      <c r="AG30" s="61">
        <f t="shared" si="30"/>
        <v>13.799999999999999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80</v>
      </c>
      <c r="R31" s="39"/>
      <c r="S31" s="273" t="str">
        <f>VLOOKUP($Q31,[1]MEP!$A$5:$D$300,3)</f>
        <v>PP moyenne 1 coupe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0.5</v>
      </c>
      <c r="W31" s="76">
        <f>VLOOKUP($Q31,[1]MEP!$A$4:$K$300,6)</f>
        <v>0.7</v>
      </c>
      <c r="X31" s="76">
        <f>VLOOKUP($Q31,[1]MEP!$A$4:$K$300,7)</f>
        <v>1.9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2.8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8" t="s">
        <v>275</v>
      </c>
      <c r="G32" s="278"/>
      <c r="H32" s="82"/>
      <c r="I32" s="68" t="s">
        <v>279</v>
      </c>
      <c r="J32" s="82" t="s">
        <v>279</v>
      </c>
      <c r="K32" s="278" t="s">
        <v>277</v>
      </c>
      <c r="L32" s="278"/>
      <c r="M32" s="82"/>
      <c r="P32">
        <v>4</v>
      </c>
      <c r="Q32" s="39">
        <v>317</v>
      </c>
      <c r="R32" s="39"/>
      <c r="S32" s="273" t="str">
        <f>VLOOKUP($Q32,[1]MEP!$A$5:$D$300,3)</f>
        <v>PP MOYENNE 1 COUPE ESTIVALE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2</v>
      </c>
      <c r="W32" s="76">
        <f>VLOOKUP($Q32,[1]MEP!$A$4:$K$300,6)</f>
        <v>0</v>
      </c>
      <c r="X32" s="76">
        <f>VLOOKUP($Q32,[1]MEP!$A$4:$K$300,7)</f>
        <v>2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2.5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ensil zone 4</v>
      </c>
      <c r="D34" s="39">
        <v>8</v>
      </c>
      <c r="E34" s="39">
        <v>1.5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21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orge hiver zone 5 /4/3</v>
      </c>
      <c r="D35" s="39">
        <v>17</v>
      </c>
      <c r="E35" s="39">
        <v>1</v>
      </c>
      <c r="F35" s="76">
        <f>VLOOKUP($D35,[1]Cult!$A$5:$F$61,3)</f>
        <v>5.0999999999999996</v>
      </c>
      <c r="G35" s="76">
        <f>VLOOKUP($D35,[1]Cult!$A$5:$F$61,4)</f>
        <v>4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2">VALUE(LEFT(I35,2))</f>
        <v>2</v>
      </c>
      <c r="K35" s="61">
        <f t="shared" si="39"/>
        <v>5.0999999999999996</v>
      </c>
      <c r="L35" s="61">
        <f t="shared" si="40"/>
        <v>4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468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maïs grain zone 4</v>
      </c>
      <c r="D36" s="39">
        <v>7</v>
      </c>
      <c r="E36" s="39">
        <v>1</v>
      </c>
      <c r="F36" s="76">
        <f>VLOOKUP($D36,[1]Cult!$A$5:$F$61,3)</f>
        <v>9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1 -maïs-grain</v>
      </c>
      <c r="J36" s="76">
        <f t="shared" si="42"/>
        <v>1</v>
      </c>
      <c r="K36" s="61">
        <f t="shared" si="39"/>
        <v>9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landes litières fougère (F ou F/P) toutes zones</v>
      </c>
      <c r="D37" s="39">
        <v>28</v>
      </c>
      <c r="E37" s="39">
        <v>4</v>
      </c>
      <c r="F37" s="76">
        <f>VLOOKUP($D37,[1]Cult!$A$5:$F$61,3)</f>
        <v>0</v>
      </c>
      <c r="G37" s="76">
        <f>VLOOKUP($D37,[1]Cult!$A$5:$F$61,4)</f>
        <v>3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12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22.145000000000003</v>
      </c>
      <c r="AF49" s="75">
        <f t="shared" ref="AF49" si="50">SUM(AF29:AF48)</f>
        <v>16.099999999999998</v>
      </c>
      <c r="AG49" s="75">
        <f t="shared" ref="AG49" si="51">SUM(AG29:AG48)</f>
        <v>22.413499999999999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20.972000000000001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4</v>
      </c>
      <c r="P51">
        <v>1</v>
      </c>
      <c r="Q51" s="39">
        <v>47</v>
      </c>
      <c r="R51" s="39">
        <v>4</v>
      </c>
      <c r="S51" s="273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5.0999999999999996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4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9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5.0999999999999996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460</v>
      </c>
      <c r="C66" s="161"/>
      <c r="D66" s="161"/>
      <c r="E66" s="161"/>
      <c r="F66" s="161"/>
      <c r="G66" s="162" t="s">
        <v>461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462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40.15</v>
      </c>
      <c r="E72" s="61">
        <f t="shared" ref="E72:H72" si="69">AF27</f>
        <v>30.1</v>
      </c>
      <c r="F72" s="61">
        <f t="shared" si="69"/>
        <v>58.8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30.597000000000001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40.137964750000002</v>
      </c>
      <c r="E73" s="61">
        <f>BR20</f>
        <v>28.3881725</v>
      </c>
      <c r="F73" s="61">
        <f>BR21</f>
        <v>47.770713999999998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80.899999999999991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1.2035249999996722E-2</v>
      </c>
      <c r="E75" s="93">
        <f t="shared" ref="E75:I75" si="71">E72-E73</f>
        <v>1.7118275000000018</v>
      </c>
      <c r="F75" s="93">
        <f t="shared" si="71"/>
        <v>11.029285999999999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-50.30299999999999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463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22.145000000000003</v>
      </c>
      <c r="E82" s="61">
        <f t="shared" ref="E82:H82" si="72">AF49</f>
        <v>16.099999999999998</v>
      </c>
      <c r="F82" s="61">
        <f t="shared" si="72"/>
        <v>22.413499999999999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22.177343999999998</v>
      </c>
      <c r="E83" s="61">
        <f>BR28</f>
        <v>15.707327999999997</v>
      </c>
      <c r="F83" s="61">
        <f>BR29</f>
        <v>20.852159999999998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-3.2343999999994821E-2</v>
      </c>
      <c r="E85" s="93">
        <f t="shared" ref="E85:H85" si="73">E82-E83</f>
        <v>0.39267200000000102</v>
      </c>
      <c r="F85" s="93">
        <f t="shared" si="73"/>
        <v>1.5613400000000013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462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464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5" spans="1:5" x14ac:dyDescent="0.25">
      <c r="A5" s="274" t="s">
        <v>1430</v>
      </c>
      <c r="B5" s="274" t="s">
        <v>1426</v>
      </c>
    </row>
    <row r="6" spans="1:5" x14ac:dyDescent="0.25">
      <c r="A6" s="274" t="s">
        <v>1428</v>
      </c>
      <c r="B6" t="s">
        <v>471</v>
      </c>
      <c r="C6" t="s">
        <v>447</v>
      </c>
      <c r="D6" t="s">
        <v>1429</v>
      </c>
      <c r="E6" t="s">
        <v>1427</v>
      </c>
    </row>
    <row r="7" spans="1:5" x14ac:dyDescent="0.25">
      <c r="A7" s="15">
        <v>30</v>
      </c>
      <c r="B7" s="275">
        <v>3</v>
      </c>
      <c r="C7" s="275">
        <v>3.5</v>
      </c>
      <c r="D7" s="275"/>
      <c r="E7" s="275">
        <v>6.5</v>
      </c>
    </row>
    <row r="8" spans="1:5" x14ac:dyDescent="0.25">
      <c r="A8" s="15">
        <v>47</v>
      </c>
      <c r="B8" s="275"/>
      <c r="C8" s="275">
        <v>2.5</v>
      </c>
      <c r="D8" s="275"/>
      <c r="E8" s="275">
        <v>2.5</v>
      </c>
    </row>
    <row r="9" spans="1:5" x14ac:dyDescent="0.25">
      <c r="A9" s="15">
        <v>80</v>
      </c>
      <c r="B9" s="275"/>
      <c r="C9" s="275">
        <v>3</v>
      </c>
      <c r="D9" s="275"/>
      <c r="E9" s="275">
        <v>3</v>
      </c>
    </row>
    <row r="10" spans="1:5" x14ac:dyDescent="0.25">
      <c r="A10" s="15">
        <v>130</v>
      </c>
      <c r="B10" s="275"/>
      <c r="C10" s="275">
        <v>10</v>
      </c>
      <c r="D10" s="275"/>
      <c r="E10" s="275">
        <v>10</v>
      </c>
    </row>
    <row r="11" spans="1:5" x14ac:dyDescent="0.25">
      <c r="A11" s="15">
        <v>317</v>
      </c>
      <c r="B11" s="275">
        <v>2</v>
      </c>
      <c r="C11" s="275">
        <v>7.5</v>
      </c>
      <c r="D11" s="275"/>
      <c r="E11" s="275">
        <v>9.5</v>
      </c>
    </row>
    <row r="12" spans="1:5" x14ac:dyDescent="0.25">
      <c r="A12" s="15">
        <v>318</v>
      </c>
      <c r="B12" s="275"/>
      <c r="C12" s="275">
        <v>17</v>
      </c>
      <c r="D12" s="275"/>
      <c r="E12" s="275">
        <v>17</v>
      </c>
    </row>
    <row r="13" spans="1:5" x14ac:dyDescent="0.25">
      <c r="A13" s="15">
        <v>319</v>
      </c>
      <c r="B13" s="275"/>
      <c r="C13" s="275">
        <v>8.5</v>
      </c>
      <c r="D13" s="275"/>
      <c r="E13" s="275">
        <v>8.5</v>
      </c>
    </row>
    <row r="14" spans="1:5" x14ac:dyDescent="0.25">
      <c r="A14" s="15" t="s">
        <v>1429</v>
      </c>
      <c r="B14" s="275"/>
      <c r="C14" s="275">
        <v>1</v>
      </c>
      <c r="D14" s="275"/>
      <c r="E14" s="275">
        <v>1</v>
      </c>
    </row>
    <row r="15" spans="1:5" x14ac:dyDescent="0.25">
      <c r="A15" s="15">
        <v>228</v>
      </c>
      <c r="B15" s="275">
        <v>16</v>
      </c>
      <c r="C15" s="275"/>
      <c r="D15" s="275"/>
      <c r="E15" s="275">
        <v>16</v>
      </c>
    </row>
    <row r="16" spans="1:5" x14ac:dyDescent="0.25">
      <c r="A16" s="15" t="s">
        <v>1427</v>
      </c>
      <c r="B16" s="275">
        <v>21</v>
      </c>
      <c r="C16" s="275">
        <v>53</v>
      </c>
      <c r="D16" s="275"/>
      <c r="E16" s="275">
        <v>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Normal="100"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470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447</v>
      </c>
      <c r="E2" s="9" t="s">
        <v>1425</v>
      </c>
      <c r="F2" s="9">
        <v>319</v>
      </c>
      <c r="G2" s="9">
        <v>8.5</v>
      </c>
      <c r="H2" s="9">
        <v>7</v>
      </c>
      <c r="I2" s="9">
        <v>3</v>
      </c>
      <c r="J2" s="9">
        <v>1</v>
      </c>
      <c r="K2" s="8">
        <f>IF(B2=2,0,IF(I2=$Y$10,G2*$AB$10,IF(I2=$Y$11,G2*$AB$11,IF(I2=$Y$12,G2*$AB$12,""))))</f>
        <v>9.3500000000000014</v>
      </c>
      <c r="L2" s="8">
        <f>IF(J2=$Y$5,K2*$AA$5,IF(J2=$Y$6,K2*$AA$6,IF(J2=$Y$7,K2*$AA$7,"")))</f>
        <v>11.22</v>
      </c>
      <c r="M2" s="10">
        <f>IF(I2=$Y$10,SQRT(L2*10000),SQRT(Parcellaire!L2*10000)/$AC$11)</f>
        <v>236.85438564654021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947.41754258616083</v>
      </c>
      <c r="U2" s="10">
        <f>IF(C2=2,Q2*M2,0)</f>
        <v>947.41754258616083</v>
      </c>
      <c r="V2" s="27">
        <f>O2*M2</f>
        <v>1421.1263138792413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1424</v>
      </c>
      <c r="F3" s="9">
        <v>47</v>
      </c>
      <c r="G3" s="9"/>
      <c r="H3" s="9">
        <v>1.5</v>
      </c>
      <c r="I3" s="9">
        <v>3</v>
      </c>
      <c r="J3" s="9">
        <v>1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 t="s">
        <v>436</v>
      </c>
      <c r="B4" s="9"/>
      <c r="C4" s="9"/>
      <c r="D4" s="9"/>
      <c r="E4" s="9"/>
      <c r="F4" s="9"/>
      <c r="G4" s="9"/>
      <c r="H4" s="9"/>
      <c r="I4" s="9"/>
      <c r="J4" s="9"/>
      <c r="K4" s="8" t="str">
        <f t="shared" si="1"/>
        <v/>
      </c>
      <c r="L4" s="8" t="e">
        <f t="shared" si="2"/>
        <v>#VALUE!</v>
      </c>
      <c r="M4" s="10" t="e">
        <f>IF(I4=$Y$10,SQRT(L4*10000),SQRT(Parcellaire!L4*10000)/$AC$11)</f>
        <v>#VALUE!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 t="e">
        <f t="shared" si="7"/>
        <v>#VALUE!</v>
      </c>
      <c r="U4" s="10">
        <f t="shared" ref="U4:U21" si="10">IF(C4=2,Q4*M4,0)</f>
        <v>0</v>
      </c>
      <c r="V4" s="27" t="e">
        <f t="shared" si="9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447</v>
      </c>
      <c r="E5" s="9" t="s">
        <v>1425</v>
      </c>
      <c r="F5" s="9">
        <v>80</v>
      </c>
      <c r="G5" s="9">
        <v>2</v>
      </c>
      <c r="H5" s="9"/>
      <c r="I5" s="9">
        <v>2</v>
      </c>
      <c r="J5" s="9">
        <v>0.5</v>
      </c>
      <c r="K5" s="8">
        <f>IF(B5=2,0,IF(I5=$Y$10,G5*$AB$10,IF(I5=$Y$11,G5*$AB$11,IF(I5=$Y$12,G5*$AB$12,""))))</f>
        <v>2</v>
      </c>
      <c r="L5" s="8">
        <f t="shared" si="2"/>
        <v>2.2000000000000002</v>
      </c>
      <c r="M5" s="10">
        <f>IF(I5=$Y$10,SQRT(L5*10000),SQRT(Parcellaire!L5*10000)/$AC$11)</f>
        <v>104.88088481701514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447</v>
      </c>
      <c r="E6" s="9" t="s">
        <v>1448</v>
      </c>
      <c r="F6" s="9"/>
      <c r="G6" s="9">
        <v>1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447</v>
      </c>
      <c r="E8" s="9" t="s">
        <v>1424</v>
      </c>
      <c r="F8" s="9">
        <v>47</v>
      </c>
      <c r="G8" s="9">
        <v>2.5</v>
      </c>
      <c r="H8" s="9"/>
      <c r="I8" s="166">
        <v>2</v>
      </c>
      <c r="J8" s="9">
        <v>1</v>
      </c>
      <c r="K8" s="8">
        <f>IF(B8=2,0,IF(I8=$Y$10,G8*$AB$10,IF(I8=$Y$11,G8*$AB$11,IF(I8=$Y$12,G8*$AB$12,""))))</f>
        <v>2.5</v>
      </c>
      <c r="L8" s="8">
        <f t="shared" si="15"/>
        <v>3</v>
      </c>
      <c r="M8" s="10">
        <f>IF(I8=$Y$10,SQRT(L8*10000),SQRT(Parcellaire!L8*10000)/$AC$11)</f>
        <v>122.4744871391589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551.13519212621509</v>
      </c>
      <c r="U8" s="10">
        <f t="shared" si="10"/>
        <v>0</v>
      </c>
      <c r="V8" s="27">
        <f t="shared" si="14"/>
        <v>734.84692283495338</v>
      </c>
      <c r="W8" s="3"/>
      <c r="X8" s="3"/>
    </row>
    <row r="9" spans="1:29" ht="15" customHeight="1" x14ac:dyDescent="0.25">
      <c r="A9" s="8">
        <v>7</v>
      </c>
      <c r="B9" s="9">
        <v>1</v>
      </c>
      <c r="C9" s="9">
        <v>2</v>
      </c>
      <c r="D9" s="9" t="s">
        <v>447</v>
      </c>
      <c r="E9" s="9" t="s">
        <v>1425</v>
      </c>
      <c r="F9" s="9">
        <v>317</v>
      </c>
      <c r="G9" s="9">
        <v>7.5</v>
      </c>
      <c r="H9" s="9">
        <v>5</v>
      </c>
      <c r="I9" s="9">
        <v>3</v>
      </c>
      <c r="J9" s="9">
        <v>0.5</v>
      </c>
      <c r="K9" s="8">
        <f t="shared" ref="K9:K11" si="17">IF(B9=2,0,IF(I9=$Y$10,G9*$AB$10,IF(I9=$Y$11,G9*$AB$11,IF(I9=$Y$12,G9*$AB$12,""))))</f>
        <v>8.25</v>
      </c>
      <c r="L9" s="8">
        <f t="shared" ref="L9:L11" si="18">IF(J9=$Y$5,K9*$AA$5,IF(J9=$Y$6,K9*$AA$6,IF(J9=$Y$7,K9*$AA$7,"")))</f>
        <v>9.0750000000000011</v>
      </c>
      <c r="M9" s="10">
        <f>IF(I9=$Y$10,SQRT(L9*10000),SQRT(Parcellaire!L9*10000)/$AC$11)</f>
        <v>213.01408404140793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1278.0845042484475</v>
      </c>
      <c r="U9" s="10">
        <f t="shared" si="10"/>
        <v>0</v>
      </c>
      <c r="V9" s="27">
        <f t="shared" si="14"/>
        <v>1278.0845042484475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447</v>
      </c>
      <c r="E10" s="9" t="s">
        <v>1448</v>
      </c>
      <c r="F10" s="9"/>
      <c r="G10" s="9"/>
      <c r="H10" s="9">
        <v>2.5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447</v>
      </c>
      <c r="E11" s="9" t="s">
        <v>1425</v>
      </c>
      <c r="F11" s="9">
        <v>130</v>
      </c>
      <c r="G11" s="9">
        <v>3</v>
      </c>
      <c r="H11" s="9"/>
      <c r="I11" s="9">
        <v>3</v>
      </c>
      <c r="J11" s="9">
        <v>1</v>
      </c>
      <c r="K11" s="8">
        <f t="shared" si="17"/>
        <v>3.3000000000000003</v>
      </c>
      <c r="L11" s="8">
        <f t="shared" si="18"/>
        <v>3.96</v>
      </c>
      <c r="M11" s="10">
        <f>IF(I11=$Y$10,SQRT(L11*10000),SQRT(Parcellaire!L11*10000)/$AC$11)</f>
        <v>140.71247279470288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447</v>
      </c>
      <c r="E12" s="9" t="s">
        <v>518</v>
      </c>
      <c r="F12" s="9">
        <v>30</v>
      </c>
      <c r="G12" s="9">
        <v>2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2.2000000000000002</v>
      </c>
      <c r="L12" s="8">
        <f t="shared" ref="L12:L23" si="21">IF(J12=$Y$5,K12*$AA$5,IF(J12=$Y$6,K12*$AA$6,IF(J12=$Y$7,K12*$AA$7,"")))</f>
        <v>2.2000000000000002</v>
      </c>
      <c r="M12" s="10">
        <f>IF(I12=$Y$10,SQRT(L12*10000),SQRT(Parcellaire!L12*10000)/$AC$11)</f>
        <v>104.88088481701514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367.083096859553</v>
      </c>
      <c r="U12" s="10">
        <f t="shared" si="10"/>
        <v>524.40442408507568</v>
      </c>
      <c r="V12" s="27">
        <f t="shared" si="14"/>
        <v>629.28530890209083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447</v>
      </c>
      <c r="E13" s="9" t="s">
        <v>518</v>
      </c>
      <c r="F13" s="9">
        <v>30</v>
      </c>
      <c r="G13" s="9">
        <v>1.5</v>
      </c>
      <c r="H13" s="9"/>
      <c r="I13" s="9">
        <v>2</v>
      </c>
      <c r="J13" s="9">
        <v>0</v>
      </c>
      <c r="K13" s="8">
        <f t="shared" si="20"/>
        <v>1.5</v>
      </c>
      <c r="L13" s="8">
        <f t="shared" si="21"/>
        <v>1.5</v>
      </c>
      <c r="M13" s="10">
        <f>IF(I13=$Y$10,SQRT(L13*10000),SQRT(Parcellaire!L13*10000)/$AC$11)</f>
        <v>86.602540378443862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389.7114317029974</v>
      </c>
      <c r="U13" s="10">
        <f t="shared" si="10"/>
        <v>259.8076211353316</v>
      </c>
      <c r="V13" s="27">
        <f t="shared" si="14"/>
        <v>519.6152422706632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471</v>
      </c>
      <c r="E14" s="9" t="s">
        <v>1425</v>
      </c>
      <c r="F14" s="9">
        <v>317</v>
      </c>
      <c r="G14" s="9">
        <v>0.6</v>
      </c>
      <c r="H14" s="9"/>
      <c r="I14" s="9">
        <v>2</v>
      </c>
      <c r="J14" s="9">
        <v>1</v>
      </c>
      <c r="K14" s="8">
        <f t="shared" si="20"/>
        <v>0.6</v>
      </c>
      <c r="L14" s="8">
        <f t="shared" si="21"/>
        <v>0.72</v>
      </c>
      <c r="M14" s="10">
        <f>IF(I14=$Y$10,SQRT(L14*10000),SQRT(Parcellaire!L14*10000)/$AC$11)</f>
        <v>60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180</v>
      </c>
      <c r="U14" s="10">
        <f t="shared" si="10"/>
        <v>360</v>
      </c>
      <c r="V14" s="27">
        <f t="shared" si="14"/>
        <v>360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471</v>
      </c>
      <c r="E15" s="9" t="s">
        <v>1425</v>
      </c>
      <c r="F15" s="9">
        <v>317</v>
      </c>
      <c r="G15" s="9">
        <v>1.4</v>
      </c>
      <c r="H15" s="9"/>
      <c r="I15" s="9">
        <v>3</v>
      </c>
      <c r="J15" s="9">
        <v>1</v>
      </c>
      <c r="K15" s="8">
        <f t="shared" si="20"/>
        <v>1.54</v>
      </c>
      <c r="L15" s="8">
        <f t="shared" si="21"/>
        <v>1.8479999999999999</v>
      </c>
      <c r="M15" s="10">
        <f>IF(I15=$Y$10,SQRT(L15*10000),SQRT(Parcellaire!L15*10000)/$AC$11)</f>
        <v>96.124918725583328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471</v>
      </c>
      <c r="E16" s="9" t="s">
        <v>518</v>
      </c>
      <c r="F16" s="9">
        <v>30</v>
      </c>
      <c r="G16" s="9">
        <v>3</v>
      </c>
      <c r="H16" s="9"/>
      <c r="I16" s="9">
        <v>3</v>
      </c>
      <c r="J16" s="9">
        <v>0</v>
      </c>
      <c r="K16" s="8">
        <f t="shared" si="20"/>
        <v>3.3000000000000003</v>
      </c>
      <c r="L16" s="8">
        <f t="shared" si="21"/>
        <v>3.3000000000000003</v>
      </c>
      <c r="M16" s="10">
        <f>IF(I16=$Y$10,SQRT(L16*10000),SQRT(Parcellaire!L16*10000)/$AC$11)</f>
        <v>128.45232578665127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706.487791826582</v>
      </c>
      <c r="U16" s="10">
        <f t="shared" si="10"/>
        <v>128.45232578665127</v>
      </c>
      <c r="V16" s="27">
        <f t="shared" si="14"/>
        <v>770.71395471990763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447</v>
      </c>
      <c r="E17" s="9" t="s">
        <v>1425</v>
      </c>
      <c r="F17" s="9">
        <v>130</v>
      </c>
      <c r="G17" s="9">
        <v>2.5</v>
      </c>
      <c r="H17" s="9"/>
      <c r="I17" s="9">
        <v>2</v>
      </c>
      <c r="J17" s="9">
        <v>1</v>
      </c>
      <c r="K17" s="8">
        <f t="shared" si="20"/>
        <v>2.5</v>
      </c>
      <c r="L17" s="8">
        <f t="shared" si="21"/>
        <v>3</v>
      </c>
      <c r="M17" s="10">
        <f>IF(I17=$Y$10,SQRT(L17*10000),SQRT(Parcellaire!L17*10000)/$AC$11)</f>
        <v>122.4744871391589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612.37243569579448</v>
      </c>
      <c r="U17" s="10">
        <f t="shared" si="10"/>
        <v>244.94897427831779</v>
      </c>
      <c r="V17" s="27">
        <f t="shared" si="14"/>
        <v>734.84692283495338</v>
      </c>
      <c r="W17" s="3"/>
      <c r="X17" s="3"/>
      <c r="Y17" s="8">
        <v>2</v>
      </c>
      <c r="Z17" s="138" t="s">
        <v>334</v>
      </c>
      <c r="AA17" s="136">
        <f>T64</f>
        <v>7389.7105708126246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447</v>
      </c>
      <c r="E18" s="9" t="s">
        <v>1425</v>
      </c>
      <c r="F18" s="9">
        <v>130</v>
      </c>
      <c r="G18" s="9">
        <v>4.5</v>
      </c>
      <c r="H18" s="9"/>
      <c r="I18" s="9">
        <v>3</v>
      </c>
      <c r="J18" s="9">
        <v>1</v>
      </c>
      <c r="K18" s="8">
        <f t="shared" si="20"/>
        <v>4.95</v>
      </c>
      <c r="L18" s="8">
        <f t="shared" si="21"/>
        <v>5.94</v>
      </c>
      <c r="M18" s="10">
        <f>IF(I18=$Y$10,SQRT(L18*10000),SQRT(Parcellaire!L18*10000)/$AC$11)</f>
        <v>172.33687939614086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689.34751758456355</v>
      </c>
      <c r="U18" s="10">
        <f t="shared" si="10"/>
        <v>689.34751758456343</v>
      </c>
      <c r="V18" s="27">
        <f t="shared" si="14"/>
        <v>1034.0212763768452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1425</v>
      </c>
      <c r="F19" s="9">
        <v>318</v>
      </c>
      <c r="G19" s="9">
        <v>3</v>
      </c>
      <c r="H19" s="9"/>
      <c r="I19" s="9">
        <v>3</v>
      </c>
      <c r="J19" s="9">
        <v>1</v>
      </c>
      <c r="K19" s="8">
        <f t="shared" si="20"/>
        <v>3.3000000000000003</v>
      </c>
      <c r="L19" s="8">
        <f t="shared" si="21"/>
        <v>3.96</v>
      </c>
      <c r="M19" s="10">
        <f>IF(I19=$Y$10,SQRT(L19*10000),SQRT(Parcellaire!L19*10000)/$AC$11)</f>
        <v>140.71247279470288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>
        <f t="shared" si="7"/>
        <v>703.56236397351438</v>
      </c>
      <c r="U19" s="10">
        <f t="shared" si="10"/>
        <v>281.42494558940575</v>
      </c>
      <c r="V19" s="27">
        <f t="shared" si="14"/>
        <v>844.27483676821726</v>
      </c>
      <c r="W19" s="3"/>
      <c r="X19" s="3"/>
      <c r="Z19" s="20"/>
      <c r="AA19" s="136">
        <f>AA17+AA18</f>
        <v>7389.7105708126246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447</v>
      </c>
      <c r="E20" s="9" t="s">
        <v>1425</v>
      </c>
      <c r="F20" s="9">
        <v>80</v>
      </c>
      <c r="G20" s="9">
        <v>1</v>
      </c>
      <c r="H20" s="9"/>
      <c r="I20" s="9">
        <v>3</v>
      </c>
      <c r="J20" s="9">
        <v>0.5</v>
      </c>
      <c r="K20" s="8">
        <f t="shared" si="20"/>
        <v>1.1000000000000001</v>
      </c>
      <c r="L20" s="8">
        <f t="shared" si="21"/>
        <v>1.2100000000000002</v>
      </c>
      <c r="M20" s="10">
        <f>IF(I20=$Y$10,SQRT(L20*10000),SQRT(Parcellaire!L20*10000)/$AC$11)</f>
        <v>77.781745930520231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233.34523779156069</v>
      </c>
      <c r="U20" s="10">
        <f t="shared" si="10"/>
        <v>0</v>
      </c>
      <c r="V20" s="27">
        <f t="shared" si="14"/>
        <v>466.69047558312138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 t="s">
        <v>1425</v>
      </c>
      <c r="F21" s="9">
        <v>318</v>
      </c>
      <c r="G21" s="9">
        <v>4</v>
      </c>
      <c r="H21" s="9"/>
      <c r="I21" s="9">
        <v>3</v>
      </c>
      <c r="J21" s="9">
        <v>1</v>
      </c>
      <c r="K21" s="8">
        <f t="shared" si="20"/>
        <v>4.4000000000000004</v>
      </c>
      <c r="L21" s="8">
        <f t="shared" si="21"/>
        <v>5.28</v>
      </c>
      <c r="M21" s="10">
        <f>IF(I21=$Y$10,SQRT(L21*10000),SQRT(Parcellaire!L21*10000)/$AC$11)</f>
        <v>162.48076809271919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>
        <f t="shared" si="7"/>
        <v>731.16345641723638</v>
      </c>
      <c r="U21" s="10">
        <f t="shared" si="10"/>
        <v>487.44230427815756</v>
      </c>
      <c r="V21" s="27">
        <f t="shared" si="14"/>
        <v>974.88460855631513</v>
      </c>
      <c r="W21" s="3"/>
      <c r="X21" s="3"/>
    </row>
    <row r="22" spans="1:28" ht="15" customHeight="1" x14ac:dyDescent="0.25">
      <c r="A22" s="8">
        <v>1.2</v>
      </c>
      <c r="B22" s="9">
        <v>1</v>
      </c>
      <c r="C22" s="9">
        <v>2</v>
      </c>
      <c r="D22" s="9" t="s">
        <v>447</v>
      </c>
      <c r="E22" s="9" t="s">
        <v>1425</v>
      </c>
      <c r="F22" s="9">
        <v>318</v>
      </c>
      <c r="G22" s="9">
        <v>3</v>
      </c>
      <c r="H22" s="9"/>
      <c r="I22" s="9">
        <v>3</v>
      </c>
      <c r="J22" s="9">
        <v>1</v>
      </c>
      <c r="K22" s="8">
        <f t="shared" si="20"/>
        <v>3.3000000000000003</v>
      </c>
      <c r="L22" s="8">
        <f t="shared" si="21"/>
        <v>3.96</v>
      </c>
      <c r="M22" s="10">
        <f>IF(I22=$Y$10,SQRT(L22*10000),SQRT(Parcellaire!L22*10000)/$AC$11)</f>
        <v>140.71247279470288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10">
        <f t="shared" si="8"/>
        <v>0</v>
      </c>
      <c r="V22" s="27">
        <f t="shared" si="9"/>
        <v>0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1425</v>
      </c>
      <c r="F23" s="9">
        <v>318</v>
      </c>
      <c r="G23" s="9">
        <v>2</v>
      </c>
      <c r="H23" s="9"/>
      <c r="I23" s="9">
        <v>3</v>
      </c>
      <c r="J23" s="9">
        <v>1</v>
      </c>
      <c r="K23" s="8">
        <f t="shared" si="20"/>
        <v>2.2000000000000002</v>
      </c>
      <c r="L23" s="8">
        <f t="shared" si="21"/>
        <v>2.64</v>
      </c>
      <c r="M23" s="10">
        <f>IF(I23=$Y$10,SQRT(L23*10000),SQRT(Parcellaire!L23*10000)/$AC$11)</f>
        <v>114.89125293076057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10">
        <f t="shared" si="8"/>
        <v>0</v>
      </c>
      <c r="V23" s="27">
        <f t="shared" si="9"/>
        <v>0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 t="s">
        <v>1425</v>
      </c>
      <c r="F24" s="9">
        <v>318</v>
      </c>
      <c r="G24" s="9">
        <v>3</v>
      </c>
      <c r="H24" s="9"/>
      <c r="I24" s="9">
        <v>3</v>
      </c>
      <c r="J24" s="9">
        <v>1</v>
      </c>
      <c r="K24" s="8">
        <f t="shared" ref="K24" si="23">IF(I24=$Y$10,G24*$AB$10,IF(I24=$Y$11,G24*$AB$11,IF(I24=$Y$12,G24*$AB$12,"")))</f>
        <v>3.3000000000000003</v>
      </c>
      <c r="L24" s="8">
        <f t="shared" ref="L24" si="24">IF(J24=$Y$5,K24*$AA$5,IF(J24=$Y$6,K24*$AA$6,IF(J24=$Y$7,K24*$AA$7,"")))</f>
        <v>3.96</v>
      </c>
      <c r="M24" s="10">
        <f>IF(I24=$Y$10,SQRT(L24*10000),SQRT(Parcellaire!L24*10000)/$AC$11)</f>
        <v>140.71247279470288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10">
        <f t="shared" si="8"/>
        <v>0</v>
      </c>
      <c r="V24" s="27">
        <f t="shared" si="9"/>
        <v>0</v>
      </c>
      <c r="W24" s="3"/>
      <c r="X24" s="3"/>
      <c r="Y24" s="133">
        <v>1</v>
      </c>
      <c r="Z24" t="s">
        <v>472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447</v>
      </c>
      <c r="E25" s="9" t="s">
        <v>1425</v>
      </c>
      <c r="F25" s="9">
        <v>318</v>
      </c>
      <c r="G25" s="9">
        <v>1</v>
      </c>
      <c r="H25" s="9"/>
      <c r="I25" s="9">
        <v>3</v>
      </c>
      <c r="J25" s="9">
        <v>1</v>
      </c>
      <c r="K25" s="8">
        <f t="shared" ref="K25:K37" si="26">IF(I25=$Y$10,G25*$AB$10,IF(I25=$Y$11,G25*$AB$11,IF(I25=$Y$12,G25*$AB$12,"")))</f>
        <v>1.1000000000000001</v>
      </c>
      <c r="L25" s="8">
        <f t="shared" ref="L25:L37" si="27">IF(J25=$Y$5,K25*$AA$5,IF(J25=$Y$6,K25*$AA$6,IF(J25=$Y$7,K25*$AA$7,"")))</f>
        <v>1.32</v>
      </c>
      <c r="M25" s="10">
        <f>IF(I25=$Y$10,SQRT(L25*10000),SQRT(Parcellaire!L25*10000)/$AC$11)</f>
        <v>81.240384046359594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10">
        <f t="shared" si="8"/>
        <v>0</v>
      </c>
      <c r="V25" s="27">
        <f t="shared" si="9"/>
        <v>0</v>
      </c>
      <c r="W25" s="3"/>
      <c r="X25" s="3"/>
      <c r="Y25">
        <v>2</v>
      </c>
      <c r="Z25" t="s">
        <v>473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447</v>
      </c>
      <c r="E26" s="9" t="s">
        <v>1425</v>
      </c>
      <c r="F26" s="9">
        <v>318</v>
      </c>
      <c r="G26" s="9">
        <v>1</v>
      </c>
      <c r="H26" s="9"/>
      <c r="I26" s="9">
        <v>3</v>
      </c>
      <c r="J26" s="9">
        <v>1</v>
      </c>
      <c r="K26" s="8">
        <f t="shared" si="26"/>
        <v>1.1000000000000001</v>
      </c>
      <c r="L26" s="8">
        <f t="shared" si="27"/>
        <v>1.32</v>
      </c>
      <c r="M26" s="10">
        <f>IF(I26=$Y$10,SQRT(L26*10000),SQRT(Parcellaire!L26*10000)/$AC$11)</f>
        <v>81.240384046359594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>
        <f t="shared" si="7"/>
        <v>0</v>
      </c>
      <c r="U26" s="10">
        <f t="shared" si="8"/>
        <v>0</v>
      </c>
      <c r="V26" s="27">
        <f t="shared" si="9"/>
        <v>0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471</v>
      </c>
      <c r="E27" s="9" t="s">
        <v>1425</v>
      </c>
      <c r="F27" s="9">
        <v>228</v>
      </c>
      <c r="G27" s="9">
        <v>6</v>
      </c>
      <c r="H27" s="9"/>
      <c r="I27" s="9">
        <v>3</v>
      </c>
      <c r="J27" s="9">
        <v>1</v>
      </c>
      <c r="K27" s="8">
        <f t="shared" si="26"/>
        <v>6.6000000000000005</v>
      </c>
      <c r="L27" s="8">
        <f t="shared" si="27"/>
        <v>7.92</v>
      </c>
      <c r="M27" s="10">
        <f>IF(I27=$Y$10,SQRT(L27*10000),SQRT(Parcellaire!L27*10000)/$AC$11)</f>
        <v>198.99748742132397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>
        <f t="shared" si="7"/>
        <v>0</v>
      </c>
      <c r="U27" s="10">
        <f t="shared" si="8"/>
        <v>0</v>
      </c>
      <c r="V27" s="27">
        <f t="shared" si="9"/>
        <v>0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471</v>
      </c>
      <c r="E28" s="9" t="s">
        <v>1425</v>
      </c>
      <c r="F28" s="9">
        <v>228</v>
      </c>
      <c r="G28" s="9">
        <v>2</v>
      </c>
      <c r="H28" s="9"/>
      <c r="I28" s="9">
        <v>3</v>
      </c>
      <c r="J28" s="9">
        <v>1</v>
      </c>
      <c r="K28" s="8">
        <f t="shared" si="26"/>
        <v>2.2000000000000002</v>
      </c>
      <c r="L28" s="8">
        <f t="shared" si="27"/>
        <v>2.64</v>
      </c>
      <c r="M28" s="10">
        <f>IF(I28=$Y$10,SQRT(L28*10000),SQRT(Parcellaire!L28*10000)/$AC$11)</f>
        <v>114.89125293076057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>
        <f t="shared" si="7"/>
        <v>0</v>
      </c>
      <c r="U28" s="10">
        <f t="shared" si="8"/>
        <v>0</v>
      </c>
      <c r="V28" s="27">
        <f t="shared" si="9"/>
        <v>0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>
        <v>1</v>
      </c>
      <c r="C29" s="9">
        <v>2</v>
      </c>
      <c r="D29" s="9" t="s">
        <v>471</v>
      </c>
      <c r="E29" s="9" t="s">
        <v>1425</v>
      </c>
      <c r="F29" s="9">
        <v>228</v>
      </c>
      <c r="G29" s="9">
        <v>3</v>
      </c>
      <c r="H29" s="9"/>
      <c r="I29" s="9">
        <v>3</v>
      </c>
      <c r="J29" s="9">
        <v>1</v>
      </c>
      <c r="K29" s="8">
        <f t="shared" si="26"/>
        <v>3.3000000000000003</v>
      </c>
      <c r="L29" s="8">
        <f t="shared" si="27"/>
        <v>3.96</v>
      </c>
      <c r="M29" s="10">
        <f>IF(I29=$Y$10,SQRT(L29*10000),SQRT(Parcellaire!L29*10000)/$AC$11)</f>
        <v>140.71247279470288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>
        <f t="shared" si="7"/>
        <v>0</v>
      </c>
      <c r="U29" s="10">
        <f t="shared" si="8"/>
        <v>0</v>
      </c>
      <c r="V29" s="27">
        <f t="shared" si="9"/>
        <v>0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>
        <v>1</v>
      </c>
      <c r="C30" s="9">
        <v>2</v>
      </c>
      <c r="D30" s="9" t="s">
        <v>471</v>
      </c>
      <c r="E30" s="9" t="s">
        <v>1425</v>
      </c>
      <c r="F30" s="9">
        <v>228</v>
      </c>
      <c r="G30" s="9">
        <v>1</v>
      </c>
      <c r="H30" s="9"/>
      <c r="I30" s="9">
        <v>3</v>
      </c>
      <c r="J30" s="9">
        <v>1</v>
      </c>
      <c r="K30" s="8">
        <f t="shared" si="26"/>
        <v>1.1000000000000001</v>
      </c>
      <c r="L30" s="8">
        <f t="shared" si="27"/>
        <v>1.32</v>
      </c>
      <c r="M30" s="10">
        <f>IF(I30=$Y$10,SQRT(L30*10000),SQRT(Parcellaire!L30*10000)/$AC$11)</f>
        <v>81.240384046359594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>
        <f t="shared" si="7"/>
        <v>0</v>
      </c>
      <c r="U30" s="10">
        <f t="shared" si="8"/>
        <v>0</v>
      </c>
      <c r="V30" s="27">
        <f t="shared" si="9"/>
        <v>0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>
        <v>1</v>
      </c>
      <c r="C31" s="9">
        <v>2</v>
      </c>
      <c r="D31" s="9" t="s">
        <v>471</v>
      </c>
      <c r="E31" s="9" t="s">
        <v>1425</v>
      </c>
      <c r="F31" s="9">
        <v>228</v>
      </c>
      <c r="G31" s="9">
        <v>2</v>
      </c>
      <c r="H31" s="9"/>
      <c r="I31" s="9">
        <v>3</v>
      </c>
      <c r="J31" s="9">
        <v>1</v>
      </c>
      <c r="K31" s="8">
        <f t="shared" si="26"/>
        <v>2.2000000000000002</v>
      </c>
      <c r="L31" s="8">
        <f t="shared" si="27"/>
        <v>2.64</v>
      </c>
      <c r="M31" s="10">
        <f>IF(I31=$Y$10,SQRT(L31*10000),SQRT(Parcellaire!L31*10000)/$AC$11)</f>
        <v>114.89125293076057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>
        <f t="shared" si="7"/>
        <v>0</v>
      </c>
      <c r="U31" s="10">
        <f t="shared" si="8"/>
        <v>0</v>
      </c>
      <c r="V31" s="27">
        <f t="shared" si="9"/>
        <v>0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>
        <v>1</v>
      </c>
      <c r="C32" s="9">
        <v>2</v>
      </c>
      <c r="D32" s="9" t="s">
        <v>471</v>
      </c>
      <c r="E32" s="9" t="s">
        <v>1425</v>
      </c>
      <c r="F32" s="9">
        <v>228</v>
      </c>
      <c r="G32" s="9">
        <v>2</v>
      </c>
      <c r="H32" s="9"/>
      <c r="I32" s="9">
        <v>3</v>
      </c>
      <c r="J32" s="9">
        <v>1</v>
      </c>
      <c r="K32" s="8">
        <f t="shared" si="26"/>
        <v>2.2000000000000002</v>
      </c>
      <c r="L32" s="8">
        <f t="shared" si="27"/>
        <v>2.64</v>
      </c>
      <c r="M32" s="10">
        <f>IF(I32=$Y$10,SQRT(L32*10000),SQRT(Parcellaire!L32*10000)/$AC$11)</f>
        <v>114.89125293076057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>
        <f t="shared" si="7"/>
        <v>0</v>
      </c>
      <c r="U32" s="10">
        <f t="shared" si="8"/>
        <v>0</v>
      </c>
      <c r="V32" s="27">
        <f t="shared" si="9"/>
        <v>0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73</v>
      </c>
      <c r="H64" s="135"/>
      <c r="I64" s="135">
        <f>SUMIF(Parcellaire!$B$2:$B$63,1,Parcellaire!I2:I63)</f>
        <v>76</v>
      </c>
      <c r="J64" s="135">
        <f>SUMIF(Parcellaire!$B$2:$B$63,1,Parcellaire!J2:J63)</f>
        <v>22.5</v>
      </c>
      <c r="K64" s="135">
        <f>SUMIF(Parcellaire!$B$2:$B$63,1,Parcellaire!K2:K63)</f>
        <v>79.39</v>
      </c>
      <c r="L64" s="135">
        <f>SUMIF(Parcellaire!$B$2:$B$63,1,Parcellaire!L2:L63)</f>
        <v>92.732999999999961</v>
      </c>
      <c r="M64" s="135">
        <f>SUMIF(Parcellaire!$B$2:$B$63,1,Parcellaire!M2:M63)</f>
        <v>3294.2044071673135</v>
      </c>
      <c r="N64" s="135">
        <f>SUMIF(Parcellaire!$B$2:$B$63,1,Parcellaire!N2:N63)</f>
        <v>162</v>
      </c>
      <c r="O64" s="135">
        <f>SUMIF(Parcellaire!$B$2:$B$63,1,Parcellaire!O2:O63)</f>
        <v>72</v>
      </c>
      <c r="P64" s="135">
        <f>SUMIF(Parcellaire!$B$2:$B$63,1,Parcellaire!P2:P63)</f>
        <v>0</v>
      </c>
      <c r="Q64" s="135">
        <f>SUMIF(Parcellaire!$B$2:$B$63,1,Parcellaire!Q2:Q63)</f>
        <v>39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7389.7105708126246</v>
      </c>
      <c r="U64" s="135">
        <f>SUMIF(Parcellaire!$B$2:$B$63,1,Parcellaire!U2:U63)</f>
        <v>3923.2456553236648</v>
      </c>
      <c r="V64" s="135">
        <f>SUMIF(Parcellaire!$B$2:$B$63,1,Parcellaire!V2:V63)</f>
        <v>9768.390366974756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450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455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456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457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458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459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2023-01-17T14:36:45Z</dcterms:modified>
</cp:coreProperties>
</file>